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Box\0111530_入札監理課\入札監理課\000_3_4_入札制度改革一般\入札制度改革一般\011_要綱・要領改正\R07\17_20260316_福島県総合評価方式実施要領の運用\04 HP\"/>
    </mc:Choice>
  </mc:AlternateContent>
  <xr:revisionPtr revIDLastSave="0" documentId="13_ncr:1_{1B53DDD4-DF1A-45FB-BD5C-523ECCC81475}" xr6:coauthVersionLast="47" xr6:coauthVersionMax="47" xr10:uidLastSave="{00000000-0000-0000-0000-000000000000}"/>
  <workbookProtection workbookPassword="B050" lockStructure="1"/>
  <bookViews>
    <workbookView xWindow="384" yWindow="144" windowWidth="22056" windowHeight="13236" tabRatio="763"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93" i="2" l="1"/>
  <c r="AJ93" i="2"/>
  <c r="AQ93" i="2" s="1"/>
  <c r="AQ95" i="2"/>
  <c r="AQ94" i="2" l="1"/>
  <c r="V69" i="2"/>
  <c r="AC68" i="2"/>
  <c r="W68" i="2"/>
  <c r="V68" i="2"/>
  <c r="AC67" i="2"/>
  <c r="W67" i="2"/>
  <c r="V67" i="2"/>
  <c r="Y67" i="2" l="1"/>
  <c r="AE68" i="2" s="1"/>
  <c r="X100" i="2"/>
  <c r="X101" i="2" s="1"/>
  <c r="V100" i="2"/>
  <c r="H16" i="5"/>
  <c r="AE67" i="2" l="1"/>
  <c r="AP67" i="2" s="1"/>
  <c r="X80" i="2"/>
  <c r="AE61" i="2"/>
  <c r="AF61" i="2" s="1"/>
  <c r="AG100" i="2"/>
  <c r="AE59" i="2"/>
  <c r="AF59" i="2" s="1"/>
  <c r="AH100" i="2"/>
  <c r="AI100" i="2"/>
  <c r="AT102" i="2" l="1"/>
  <c r="V101" i="2"/>
  <c r="X102" i="2" l="1"/>
  <c r="S1" i="2" l="1"/>
  <c r="V61" i="2"/>
  <c r="V60" i="2"/>
  <c r="AP60" i="2" s="1"/>
  <c r="F60" i="2" s="1"/>
  <c r="V59" i="2"/>
  <c r="V58" i="2"/>
  <c r="AP58" i="2" s="1"/>
  <c r="E59" i="2"/>
  <c r="E60" i="2"/>
  <c r="E61" i="2"/>
  <c r="E58" i="2"/>
  <c r="AP61" i="2" l="1"/>
  <c r="F61" i="2" s="1"/>
  <c r="AP59" i="2"/>
  <c r="F59" i="2" s="1"/>
  <c r="S47" i="2"/>
  <c r="AT95" i="2" l="1"/>
  <c r="AT94" i="2" s="1"/>
  <c r="E79" i="2"/>
  <c r="V78" i="2"/>
  <c r="AA78" i="2" s="1"/>
  <c r="V79" i="2"/>
  <c r="AA79" i="2" s="1"/>
  <c r="V77" i="2"/>
  <c r="AB78" i="2" s="1"/>
  <c r="V62" i="2"/>
  <c r="W78" i="2" l="1"/>
  <c r="AU95" i="2"/>
  <c r="W79" i="2"/>
  <c r="X79" i="2" s="1"/>
  <c r="W55" i="2" l="1"/>
  <c r="Y93" i="2"/>
  <c r="X93" i="2"/>
  <c r="V93" i="2"/>
  <c r="X95" i="2" l="1"/>
  <c r="X94" i="2"/>
  <c r="Y95" i="2"/>
  <c r="Y94" i="2"/>
  <c r="W56" i="2"/>
  <c r="AU102" i="2" l="1"/>
  <c r="X78" i="2"/>
  <c r="X84" i="2" l="1"/>
  <c r="E81" i="2"/>
  <c r="AB79" i="2" l="1"/>
  <c r="AR81" i="2" s="1"/>
  <c r="F79" i="2" s="1"/>
  <c r="AA83" i="2"/>
  <c r="Z83" i="2" l="1"/>
  <c r="X92" i="2" l="1"/>
  <c r="W85" i="2"/>
  <c r="H17" i="5"/>
  <c r="AE83" i="2"/>
  <c r="AB86" i="2"/>
  <c r="AB85" i="2"/>
  <c r="AB84" i="2"/>
  <c r="AB83" i="2"/>
  <c r="AC83" i="2" s="1"/>
  <c r="AA86" i="2"/>
  <c r="AA85" i="2"/>
  <c r="AA84" i="2"/>
  <c r="AO102" i="2" l="1"/>
  <c r="AO100" i="2"/>
  <c r="AO101" i="2"/>
  <c r="D20" i="5"/>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R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R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K99" i="2"/>
  <c r="X87" i="2"/>
  <c r="W87" i="2"/>
  <c r="AU84" i="2" s="1"/>
  <c r="AP88" i="2"/>
  <c r="AP86" i="2"/>
  <c r="AP87" i="2"/>
  <c r="AT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M94" i="2" l="1"/>
  <c r="AL95" i="2"/>
  <c r="AN100" i="2"/>
  <c r="AL102" i="2"/>
  <c r="AK102" i="2"/>
  <c r="AN102" i="2" s="1"/>
  <c r="AM102" i="2"/>
  <c r="AL101" i="2"/>
  <c r="AM101" i="2"/>
  <c r="AN96" i="2"/>
  <c r="AO91" i="2"/>
  <c r="AU85" i="2"/>
  <c r="AU83" i="2"/>
  <c r="AU82" i="2"/>
  <c r="AR88" i="2"/>
  <c r="F81" i="2" s="1"/>
  <c r="AN91" i="2"/>
  <c r="AT85" i="2"/>
  <c r="W88" i="2"/>
  <c r="AT84" i="2"/>
  <c r="AT83" i="2"/>
  <c r="K88" i="2"/>
  <c r="AN97" i="2"/>
  <c r="AO98" i="2"/>
  <c r="AN98" i="2"/>
  <c r="AO95" i="2"/>
  <c r="AN95" i="2"/>
  <c r="AO94" i="2"/>
  <c r="AN94" i="2"/>
  <c r="AN99" i="2"/>
  <c r="AO93" i="2"/>
  <c r="AO92" i="2"/>
  <c r="AR92" i="2" s="1"/>
  <c r="AO99" i="2"/>
  <c r="AO97" i="2"/>
  <c r="AO96" i="2"/>
  <c r="AN101" i="2" l="1"/>
  <c r="AS93" i="2"/>
  <c r="F92" i="2"/>
  <c r="AU86" i="2"/>
  <c r="AT86" i="2"/>
  <c r="AT90" i="2" s="1"/>
  <c r="F91" i="2" s="1"/>
  <c r="AR96" i="2"/>
  <c r="AR98" i="2"/>
  <c r="AK56" i="2"/>
  <c r="AE56" i="2"/>
  <c r="AP56" i="2" s="1"/>
  <c r="F55" i="2" s="1"/>
  <c r="AE54" i="2"/>
  <c r="AE53" i="2"/>
  <c r="AE52" i="2"/>
  <c r="AR100" i="2" l="1"/>
  <c r="F93" i="2"/>
  <c r="F67" i="2"/>
  <c r="AU87" i="2"/>
  <c r="AU88" i="2" s="1"/>
  <c r="Y63" i="2"/>
  <c r="Y52" i="2"/>
  <c r="AS100" i="2" l="1"/>
  <c r="AT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<sst xmlns="http://schemas.openxmlformats.org/spreadsheetml/2006/main" count="722" uniqueCount="406">
  <si>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</si>
  <si>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</si>
  <si>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</si>
  <si>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</si>
  <si>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</si>
  <si>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</si>
  <si>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</si>
  <si>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</si>
  <si>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</si>
  <si>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</si>
  <si>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</si>
  <si>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</si>
  <si>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</si>
  <si>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</si>
  <si>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</si>
  <si>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</si>
  <si>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</si>
  <si>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</si>
  <si>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</si>
  <si>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</si>
  <si>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</si>
  <si>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</si>
  <si>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</si>
  <si>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</si>
  <si>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</si>
  <si>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</si>
  <si>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</si>
  <si>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</si>
  <si>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</si>
  <si>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</si>
  <si>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</si>
  <si>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</si>
  <si>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</si>
  <si>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</si>
  <si>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</si>
  <si>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</si>
  <si>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</si>
  <si>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</si>
  <si>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</si>
  <si>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</si>
  <si>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</si>
  <si>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</si>
  <si>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</si>
  <si>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</si>
  <si>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</si>
  <si>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</si>
  <si>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</si>
  <si>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</si>
  <si>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</si>
  <si>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</si>
  <si>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</si>
  <si>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</si>
  <si>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</si>
  <si>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</si>
  <si>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</si>
  <si>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</si>
  <si>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</si>
  <si>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</si>
  <si>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</si>
  <si>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</si>
  <si>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</si>
  <si>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</si>
  <si>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</si>
  <si>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</si>
  <si>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</si>
  <si>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</si>
  <si>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</si>
  <si>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</si>
  <si>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</si>
  <si>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</si>
  <si>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</si>
  <si>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</si>
  <si>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</si>
  <si>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</si>
  <si>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</si>
  <si>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</si>
  <si>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</si>
  <si>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</si>
  <si>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</si>
  <si>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</si>
  <si>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</si>
  <si>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</si>
  <si>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</si>
  <si>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</si>
  <si>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</si>
  <si>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</si>
  <si>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</si>
  <si>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</si>
  <si>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</si>
  <si>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</si>
  <si>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</si>
  <si>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</si>
  <si>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</si>
  <si>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</si>
  <si>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</si>
  <si>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</si>
  <si>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</si>
  <si>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</si>
  <si>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</si>
  <si>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</si>
  <si>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</si>
  <si>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</si>
  <si>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</si>
  <si>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</si>
  <si>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</si>
  <si>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</si>
  <si>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</si>
  <si>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</si>
  <si>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</si>
  <si>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</si>
  <si>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</si>
  <si>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</si>
  <si>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</si>
  <si>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</si>
  <si>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</si>
  <si>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</si>
  <si>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</si>
  <si>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</si>
  <si>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</si>
  <si>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</si>
  <si>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</si>
  <si>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</si>
  <si>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</si>
  <si>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</si>
  <si>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</si>
  <si>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</si>
  <si>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</si>
  <si>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</si>
  <si>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</si>
  <si>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</si>
  <si>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</si>
  <si>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</si>
  <si>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</si>
  <si>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</si>
  <si>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</si>
  <si>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</si>
  <si>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</si>
  <si>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</si>
  <si>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</si>
  <si>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</si>
  <si>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</si>
  <si>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</si>
  <si>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</si>
  <si>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</si>
  <si>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</si>
  <si>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</si>
  <si>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</si>
  <si>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</si>
  <si>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</si>
  <si>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</si>
  <si>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</si>
  <si>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</si>
  <si>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</si>
  <si>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</si>
  <si>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</si>
  <si>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</si>
  <si>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</si>
  <si>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</si>
  <si>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</si>
  <si>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</si>
  <si>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</si>
  <si>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</si>
  <si>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</si>
  <si>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</si>
  <si>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</si>
  <si>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</si>
  <si>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</si>
  <si>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</si>
  <si>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</si>
  <si>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</si>
  <si>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</si>
  <si>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</si>
  <si>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</si>
  <si>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</si>
  <si>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</si>
  <si>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</si>
  <si>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</si>
  <si>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</si>
  <si>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</si>
  <si>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</si>
  <si>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</si>
  <si>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</si>
  <si>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</si>
  <si>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</si>
  <si>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</si>
  <si>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</si>
  <si>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</si>
  <si>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</si>
  <si>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</si>
  <si>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</si>
  <si>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</si>
  <si>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</si>
  <si>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</si>
  <si>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</si>
  <si>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</si>
  <si>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</si>
  <si>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</si>
  <si>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</si>
  <si>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</si>
  <si>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</si>
  <si>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</si>
  <si>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</si>
  <si>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</si>
  <si>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</si>
  <si>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</si>
  <si>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</si>
  <si>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</si>
  <si>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</si>
  <si>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</si>
  <si>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</si>
  <si>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</si>
  <si>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</si>
  <si>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</si>
  <si>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</si>
  <si>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</si>
  <si>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</si>
  <si>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</si>
  <si>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</si>
  <si>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</si>
  <si>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</si>
  <si>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</si>
  <si>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</si>
  <si>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</si>
  <si>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</si>
  <si>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</si>
  <si>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</si>
  <si>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</si>
  <si>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</si>
  <si>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</si>
  <si>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</si>
  <si>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</si>
  <si>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</si>
  <si>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</si>
  <si>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</si>
  <si>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</si>
  <si>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</si>
  <si>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</si>
  <si>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</si>
  <si>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</si>
  <si>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</si>
  <si>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</si>
  <si>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xml:space="preserve">第○○-○○○○○-○○○○号 </t>
    <rPh sb="0" eb="1">
      <t>ダイ</t>
    </rPh>
    <rPh sb="14" eb="15">
      <t>ゴウ</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</si>
  <si>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</si>
  <si>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</si>
  <si>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</si>
  <si>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</si>
  <si>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</si>
  <si>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</si>
  <si>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</si>
  <si>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</si>
  <si>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</si>
  <si>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</si>
  <si>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</si>
  <si>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</si>
  <si>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</si>
  <si>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</si>
  <si>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</si>
  <si>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</si>
  <si>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</si>
  <si>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</si>
  <si>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</si>
  <si>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</si>
  <si>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</si>
  <si>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</si>
  <si>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</si>
  <si>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</si>
  <si>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</si>
  <si>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</si>
  <si>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</si>
  <si>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</si>
  <si>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</si>
  <si>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</si>
  <si>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</si>
  <si>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</si>
  <si>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</si>
  <si>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</si>
  <si>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</si>
  <si>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</si>
  <si>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</si>
  <si>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</si>
  <si>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</si>
  <si>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</si>
  <si>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</si>
  <si>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</si>
  <si>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</si>
  <si>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</si>
  <si>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</si>
  <si>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</si>
  <si>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</si>
  <si>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</si>
  <si>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</si>
  <si>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</si>
  <si>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</si>
  <si>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</si>
  <si>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</si>
  <si>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</si>
  <si>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</si>
  <si>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</si>
  <si>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</si>
  <si>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</si>
  <si>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</si>
  <si>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</si>
  <si>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</si>
  <si>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</si>
  <si>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</si>
  <si>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</si>
  <si>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</si>
  <si>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</si>
  <si>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</si>
  <si>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</si>
  <si>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</si>
  <si>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</si>
  <si>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</si>
  <si>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</si>
  <si>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</si>
  <si>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○○○○○○○○○○○○工事</t>
    <rPh sb="12" eb="14">
      <t>コウジ</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</si>
  <si>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</si>
  <si>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</si>
  <si>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</si>
  <si>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</si>
  <si>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</si>
  <si>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</si>
  <si>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</si>
  <si>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</si>
  <si>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</si>
  <si>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</si>
  <si>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</si>
  <si>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</si>
  <si>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</si>
  <si>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</si>
  <si>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</si>
  <si>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</si>
  <si>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</si>
  <si>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</si>
  <si>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</si>
  <si>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</si>
  <si>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</si>
  <si>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</si>
  <si>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</si>
  <si>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</si>
  <si>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</si>
  <si>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</si>
  <si>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</si>
  <si>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</si>
  <si>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</si>
  <si>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</si>
  <si>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</si>
  <si>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</si>
  <si>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</si>
  <si>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</si>
  <si>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</si>
  <si>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</si>
  <si>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</si>
  <si>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</si>
  <si>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</si>
  <si>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</si>
  <si>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</si>
  <si>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</si>
  <si>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</si>
  <si>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</si>
  <si>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</si>
  <si>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</si>
  <si>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</si>
  <si>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</si>
  <si>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</si>
  <si>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</si>
  <si>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</si>
  <si>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</si>
  <si>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</si>
  <si>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</si>
  <si>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</si>
  <si>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</si>
  <si>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</si>
  <si>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</si>
  <si>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</si>
  <si>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</si>
  <si>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</si>
  <si>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</si>
  <si>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</si>
  <si>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</si>
  <si>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</si>
  <si>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</si>
  <si>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</si>
  <si>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</si>
  <si>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</si>
  <si>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</si>
  <si>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</si>
  <si>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</si>
  <si>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</si>
  <si>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</si>
  <si>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</si>
  <si>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</si>
  <si>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</si>
  <si>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</si>
  <si>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</si>
  <si>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</si>
  <si>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</si>
  <si>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</si>
  <si>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</si>
  <si>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</si>
  <si>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災害時の広域的な応援に関する協定に基づく出動実績の場合「該当」を選択</t>
    <rPh sb="25" eb="27">
      <t>バアイ</t>
    </rPh>
    <rPh sb="28" eb="30">
      <t>ガイトウ</t>
    </rPh>
    <rPh sb="32" eb="34">
      <t>センタク</t>
    </rPh>
    <phoneticPr fontId="35"/>
  </si>
  <si>
    <t>広域応援</t>
    <rPh sb="0" eb="2">
      <t>コウイキ</t>
    </rPh>
    <rPh sb="2" eb="4">
      <t>オウエン</t>
    </rPh>
    <phoneticPr fontId="35"/>
  </si>
  <si>
    <t>該当</t>
    <rPh sb="0" eb="2">
      <t>ガイトウ</t>
    </rPh>
    <phoneticPr fontId="35"/>
  </si>
  <si>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5"/>
  </si>
  <si>
    <r>
      <t>過去１年以内に竣工検査を受けた県工事の週休２日確保工事実施証明書がある場合に評価。（</t>
    </r>
    <r>
      <rPr>
        <sz val="9"/>
        <color theme="1"/>
        <rFont val="ＭＳ 明朝"/>
        <family val="1"/>
        <charset val="128"/>
      </rPr>
      <t>評価対象となる発注種別、達成区分に注意）</t>
    </r>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</si>
  <si>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r>
      <t>県発注工事において過去１年以内に竣工検査を受けた工事のICT活用工事実施証明書がある場合に評価。（</t>
    </r>
    <r>
      <rPr>
        <sz val="9"/>
        <color theme="1"/>
        <rFont val="ＭＳ 明朝"/>
        <family val="1"/>
        <charset val="128"/>
      </rPr>
      <t>評価対象となる「活用工種」に注意）</t>
    </r>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</si>
</sst>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13">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37" xfId="0" applyNumberFormat="1" applyFont="1" applyBorder="1">
      <alignment vertical="center"/>
    </xf>
    <xf numFmtId="177" fontId="19" fillId="0" borderId="79" xfId="0" applyNumberFormat="1" applyFont="1" applyBorder="1">
      <alignment vertical="center"/>
    </xf>
    <xf numFmtId="177" fontId="19" fillId="0" borderId="4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6" fillId="0" borderId="10" xfId="0" applyFont="1" applyBorder="1" applyAlignment="1">
      <alignment vertical="center" wrapText="1"/>
    </xf>
    <xf numFmtId="0" fontId="54" fillId="35" borderId="28" xfId="0" applyFont="1" applyFill="1" applyBorder="1" applyAlignment="1" applyProtection="1">
      <alignment horizontal="center" vertical="center" wrapText="1"/>
      <protection locked="0"/>
    </xf>
    <xf numFmtId="0" fontId="22" fillId="38" borderId="0" xfId="0" applyFont="1" applyFill="1" applyAlignment="1">
      <alignment horizontal="center" vertical="center" wrapText="1"/>
    </xf>
    <xf numFmtId="177" fontId="42" fillId="38" borderId="0" xfId="0" applyNumberFormat="1" applyFont="1" applyFill="1" applyAlignment="1">
      <alignment horizontal="right" vertical="center" wrapText="1"/>
    </xf>
    <xf numFmtId="177" fontId="43" fillId="38" borderId="0" xfId="0" applyNumberFormat="1" applyFont="1" applyFill="1" applyAlignment="1">
      <alignment horizontal="right" vertical="center" wrapText="1"/>
    </xf>
    <xf numFmtId="0" fontId="43" fillId="38" borderId="0" xfId="0" applyFont="1" applyFill="1" applyAlignment="1">
      <alignment horizontal="right" vertical="center" wrapText="1"/>
    </xf>
    <xf numFmtId="176" fontId="43" fillId="38" borderId="0" xfId="0" applyNumberFormat="1" applyFont="1" applyFill="1" applyAlignment="1">
      <alignment horizontal="right" vertical="center" wrapText="1"/>
    </xf>
    <xf numFmtId="0" fontId="19" fillId="0" borderId="0" xfId="0" applyFont="1" applyAlignment="1">
      <alignment vertical="center" shrinkToFit="1"/>
    </xf>
    <xf numFmtId="176" fontId="19" fillId="0" borderId="23" xfId="0" applyNumberFormat="1" applyFont="1" applyBorder="1">
      <alignment vertical="center"/>
    </xf>
    <xf numFmtId="0" fontId="27" fillId="0" borderId="12" xfId="0" applyFont="1" applyBorder="1" applyAlignment="1">
      <alignment horizontal="center" vertical="center" wrapText="1"/>
    </xf>
    <xf numFmtId="177" fontId="19" fillId="0" borderId="104" xfId="0" applyNumberFormat="1" applyFont="1" applyBorder="1">
      <alignment vertical="center"/>
    </xf>
    <xf numFmtId="177" fontId="19" fillId="0" borderId="81" xfId="0" applyNumberFormat="1" applyFont="1" applyBorder="1">
      <alignment vertical="center"/>
    </xf>
    <xf numFmtId="177" fontId="19" fillId="0" borderId="94" xfId="0" applyNumberFormat="1" applyFont="1" applyBorder="1">
      <alignment vertical="center"/>
    </xf>
    <xf numFmtId="177" fontId="19" fillId="0" borderId="78" xfId="0" applyNumberFormat="1" applyFont="1" applyBorder="1">
      <alignment vertical="center"/>
    </xf>
    <xf numFmtId="177" fontId="19" fillId="0" borderId="80" xfId="0" applyNumberFormat="1" applyFont="1" applyBorder="1">
      <alignment vertical="center"/>
    </xf>
    <xf numFmtId="177" fontId="36" fillId="0" borderId="12" xfId="0" applyNumberFormat="1" applyFont="1" applyBorder="1">
      <alignment vertical="center"/>
    </xf>
    <xf numFmtId="177" fontId="36" fillId="0" borderId="105" xfId="0" applyNumberFormat="1" applyFont="1" applyBorder="1">
      <alignment vertical="center"/>
    </xf>
    <xf numFmtId="177" fontId="36" fillId="0" borderId="101" xfId="0" applyNumberFormat="1" applyFont="1" applyBorder="1">
      <alignment vertical="center"/>
    </xf>
    <xf numFmtId="177" fontId="36" fillId="0" borderId="52" xfId="0" applyNumberFormat="1" applyFont="1" applyBorder="1">
      <alignment vertical="center"/>
    </xf>
    <xf numFmtId="177" fontId="36" fillId="0" borderId="17" xfId="0" applyNumberFormat="1" applyFont="1" applyBorder="1">
      <alignment vertical="center"/>
    </xf>
    <xf numFmtId="177" fontId="19" fillId="0" borderId="42" xfId="0" applyNumberFormat="1" applyFont="1" applyBorder="1">
      <alignment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3" fillId="0" borderId="12" xfId="0" applyFont="1" applyBorder="1" applyAlignment="1">
      <alignment horizontal="left" vertical="center" wrapText="1"/>
    </xf>
    <xf numFmtId="0" fontId="23" fillId="0" borderId="54" xfId="0" applyFont="1" applyBorder="1" applyAlignment="1">
      <alignment horizontal="left" vertical="center" wrapText="1"/>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0" xfId="0" applyFont="1" applyBorder="1" applyAlignment="1">
      <alignment horizontal="center" vertical="center" textRotation="255"/>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6" fillId="0" borderId="11" xfId="0" applyFont="1" applyBorder="1" applyAlignment="1">
      <alignment horizontal="left" vertical="center" wrapText="1"/>
    </xf>
    <xf numFmtId="0" fontId="54" fillId="0" borderId="0" xfId="0" applyFont="1" applyAlignment="1">
      <alignment horizontal="justify" vertical="top" wrapText="1"/>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23" fillId="0" borderId="16"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3"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177" fontId="26" fillId="33" borderId="19" xfId="0" applyNumberFormat="1" applyFont="1" applyFill="1" applyBorder="1" applyAlignment="1">
      <alignment horizontal="center" vertical="center" wrapText="1"/>
    </xf>
    <xf numFmtId="0" fontId="53" fillId="0" borderId="56"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2"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57" fillId="0" borderId="86" xfId="0" applyFont="1" applyBorder="1" applyAlignment="1">
      <alignment vertical="center" wrapText="1"/>
    </xf>
    <xf numFmtId="0" fontId="57" fillId="0" borderId="102" xfId="0" applyFont="1" applyBorder="1" applyAlignment="1">
      <alignment vertical="center" wrapText="1"/>
    </xf>
    <xf numFmtId="0" fontId="57" fillId="0" borderId="103" xfId="0" applyFont="1" applyBorder="1" applyAlignment="1">
      <alignment vertical="center" wrapText="1"/>
    </xf>
    <xf numFmtId="0" fontId="57" fillId="0" borderId="12" xfId="0" applyFont="1" applyBorder="1" applyAlignment="1">
      <alignment vertical="center" wrapText="1"/>
    </xf>
    <xf numFmtId="0" fontId="57" fillId="0" borderId="24" xfId="0" applyFont="1" applyBorder="1" applyAlignment="1">
      <alignment vertical="center" wrapText="1"/>
    </xf>
    <xf numFmtId="0" fontId="57" fillId="0" borderId="54" xfId="0" applyFont="1" applyBorder="1" applyAlignment="1">
      <alignmen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80" fontId="19" fillId="38" borderId="53" xfId="0" applyNumberFormat="1" applyFont="1" applyFill="1" applyBorder="1" applyAlignment="1">
      <alignment horizontal="right" vertical="center"/>
    </xf>
    <xf numFmtId="0" fontId="19" fillId="0" borderId="19" xfId="0" applyFont="1" applyBorder="1">
      <alignment vertical="center"/>
    </xf>
    <xf numFmtId="0" fontId="23" fillId="0" borderId="24"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4" fillId="0" borderId="0" xfId="0" applyFont="1" applyAlignment="1">
      <alignment horizontal="justify"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25"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4" fillId="0" borderId="18" xfId="0" applyFont="1" applyBorder="1" applyAlignment="1">
      <alignment horizontal="left" wrapText="1"/>
    </xf>
    <xf numFmtId="0" fontId="74" fillId="0" borderId="19" xfId="0" applyFont="1" applyBorder="1" applyAlignment="1">
      <alignment horizontal="left" wrapText="1"/>
    </xf>
    <xf numFmtId="0" fontId="74" fillId="0" borderId="63" xfId="0" applyFont="1" applyBorder="1" applyAlignment="1">
      <alignment horizontal="left"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56"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77" fillId="0" borderId="0" xfId="0" applyFont="1" applyAlignment="1">
      <alignment horizontal="right" vertical="center"/>
    </xf>
    <xf numFmtId="178" fontId="78" fillId="0" borderId="0" xfId="0" applyNumberFormat="1" applyFont="1" applyAlignment="1">
      <alignment horizontal="right" vertical="top"/>
    </xf>
    <xf numFmtId="0" fontId="53" fillId="0" borderId="12" xfId="0" quotePrefix="1" applyFont="1" applyBorder="1" applyAlignment="1">
      <alignment horizontal="left" vertical="center" wrapText="1"/>
    </xf>
    <xf numFmtId="0" fontId="53" fillId="0" borderId="24" xfId="0" quotePrefix="1" applyFont="1" applyBorder="1" applyAlignment="1">
      <alignment horizontal="left" vertical="center" wrapText="1"/>
    </xf>
    <xf numFmtId="0" fontId="28" fillId="0" borderId="64" xfId="0" applyFont="1" applyBorder="1" applyAlignment="1">
      <alignment vertical="center" wrapText="1"/>
    </xf>
    <xf numFmtId="0" fontId="28" fillId="0" borderId="88" xfId="0"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300" t="s">
        <v>240</v>
      </c>
      <c r="D1" s="300"/>
      <c r="E1" s="300"/>
      <c r="F1" s="300"/>
      <c r="H1" t="s">
        <v>403</v>
      </c>
    </row>
    <row r="2" spans="2:10" ht="19.95" customHeight="1" x14ac:dyDescent="0.2">
      <c r="C2" s="147" t="s">
        <v>310</v>
      </c>
    </row>
    <row r="3" spans="2:10" ht="19.95" customHeight="1" x14ac:dyDescent="0.2">
      <c r="B3" s="25"/>
      <c r="C3" s="146" t="s">
        <v>312</v>
      </c>
    </row>
    <row r="4" spans="2:10" ht="30" customHeight="1" x14ac:dyDescent="0.2">
      <c r="B4" s="25"/>
      <c r="C4" s="137" t="s">
        <v>298</v>
      </c>
      <c r="D4" s="292" t="s">
        <v>318</v>
      </c>
      <c r="E4" s="293"/>
      <c r="F4" s="137" t="s">
        <v>292</v>
      </c>
      <c r="H4" s="158" t="s">
        <v>317</v>
      </c>
    </row>
    <row r="5" spans="2:10" ht="30" customHeight="1" x14ac:dyDescent="0.2">
      <c r="B5" s="25"/>
      <c r="C5" s="1" t="s">
        <v>286</v>
      </c>
      <c r="D5" s="286" t="s">
        <v>293</v>
      </c>
      <c r="E5" s="287"/>
      <c r="F5" s="135"/>
      <c r="H5" s="11" t="str">
        <f t="shared" ref="H5:H10" si="0">D5</f>
        <v>令和○年○月○日</v>
      </c>
    </row>
    <row r="6" spans="2:10" ht="30" customHeight="1" x14ac:dyDescent="0.2">
      <c r="B6" s="25"/>
      <c r="C6" s="1" t="s">
        <v>287</v>
      </c>
      <c r="D6" s="290" t="s">
        <v>313</v>
      </c>
      <c r="E6" s="291"/>
      <c r="F6" s="1" t="s">
        <v>295</v>
      </c>
      <c r="H6" s="11" t="str">
        <f t="shared" si="0"/>
        <v>○○市○○町○○番地</v>
      </c>
    </row>
    <row r="7" spans="2:10" ht="30" customHeight="1" x14ac:dyDescent="0.2">
      <c r="B7" s="25"/>
      <c r="C7" s="1" t="s">
        <v>288</v>
      </c>
      <c r="D7" s="298" t="s">
        <v>279</v>
      </c>
      <c r="E7" s="299"/>
      <c r="F7" s="1" t="s">
        <v>300</v>
      </c>
      <c r="H7" s="11" t="str">
        <f t="shared" si="0"/>
        <v>株式会社○○○○</v>
      </c>
    </row>
    <row r="8" spans="2:10" ht="30" customHeight="1" x14ac:dyDescent="0.2">
      <c r="B8" s="25"/>
      <c r="C8" s="1" t="s">
        <v>289</v>
      </c>
      <c r="D8" s="290" t="s">
        <v>296</v>
      </c>
      <c r="E8" s="291"/>
      <c r="F8" s="1" t="s">
        <v>300</v>
      </c>
      <c r="H8" s="11" t="str">
        <f t="shared" si="0"/>
        <v>代表取締役　○○○○</v>
      </c>
    </row>
    <row r="9" spans="2:10" ht="30" customHeight="1" x14ac:dyDescent="0.2">
      <c r="B9" s="25"/>
      <c r="C9" s="1" t="s">
        <v>290</v>
      </c>
      <c r="D9" s="290" t="s">
        <v>311</v>
      </c>
      <c r="E9" s="291"/>
      <c r="F9" s="1" t="s">
        <v>300</v>
      </c>
      <c r="H9" s="11" t="str">
        <f t="shared" si="0"/>
        <v>000-000-0000</v>
      </c>
    </row>
    <row r="10" spans="2:10" ht="30" customHeight="1" x14ac:dyDescent="0.2">
      <c r="B10" s="25"/>
      <c r="C10" s="1" t="s">
        <v>291</v>
      </c>
      <c r="D10" s="290" t="s">
        <v>297</v>
      </c>
      <c r="E10" s="291"/>
      <c r="F10" s="1" t="s">
        <v>300</v>
      </c>
      <c r="H10" s="11" t="str">
        <f t="shared" si="0"/>
        <v>○○○○</v>
      </c>
    </row>
    <row r="11" spans="2:10" ht="30" customHeight="1" x14ac:dyDescent="0.2">
      <c r="B11" s="25"/>
      <c r="C11" s="1" t="s">
        <v>294</v>
      </c>
      <c r="D11" s="290" t="s">
        <v>323</v>
      </c>
      <c r="E11" s="291"/>
      <c r="F11" s="237" t="s">
        <v>316</v>
      </c>
      <c r="H11" s="11" t="str">
        <f>D11</f>
        <v>○○・△△特定建設工事共同企業体</v>
      </c>
    </row>
    <row r="12" spans="2:10" ht="30" customHeight="1" x14ac:dyDescent="0.2">
      <c r="C12" s="137" t="s">
        <v>299</v>
      </c>
      <c r="D12" s="292" t="s">
        <v>319</v>
      </c>
      <c r="E12" s="293"/>
      <c r="F12" s="137" t="s">
        <v>133</v>
      </c>
      <c r="H12" s="158" t="s">
        <v>322</v>
      </c>
    </row>
    <row r="13" spans="2:10" ht="30" customHeight="1" x14ac:dyDescent="0.2">
      <c r="C13" s="148" t="s">
        <v>132</v>
      </c>
      <c r="D13" s="286" t="s">
        <v>293</v>
      </c>
      <c r="E13" s="287"/>
      <c r="F13" s="257" t="s">
        <v>390</v>
      </c>
      <c r="G13" s="27"/>
      <c r="H13" s="11" t="str">
        <f t="shared" ref="H13:H15" si="1">D13</f>
        <v>令和○年○月○日</v>
      </c>
      <c r="I13" s="12"/>
      <c r="J13" s="12"/>
    </row>
    <row r="14" spans="2:10" ht="30" customHeight="1" x14ac:dyDescent="0.2">
      <c r="C14" s="26" t="s">
        <v>130</v>
      </c>
      <c r="D14" s="288" t="s">
        <v>241</v>
      </c>
      <c r="E14" s="289"/>
      <c r="F14" s="257" t="s">
        <v>391</v>
      </c>
      <c r="G14" s="27"/>
      <c r="H14" s="11" t="str">
        <f>D14</f>
        <v xml:space="preserve">第○○-○○○○○-○○○○号 </v>
      </c>
      <c r="I14" s="12"/>
      <c r="J14" s="12"/>
    </row>
    <row r="15" spans="2:10" ht="30" customHeight="1" x14ac:dyDescent="0.2">
      <c r="C15" s="28" t="s">
        <v>131</v>
      </c>
      <c r="D15" s="296" t="s">
        <v>315</v>
      </c>
      <c r="E15" s="297"/>
      <c r="F15" s="258" t="s">
        <v>392</v>
      </c>
      <c r="G15" s="27"/>
      <c r="H15" s="11" t="str">
        <f t="shared" si="1"/>
        <v>○○○○○○○○○○○○工事</v>
      </c>
      <c r="I15" s="12"/>
      <c r="J15" s="12"/>
    </row>
    <row r="16" spans="2:10" ht="30" customHeight="1" x14ac:dyDescent="0.2">
      <c r="C16" s="29" t="s">
        <v>235</v>
      </c>
      <c r="D16" s="294"/>
      <c r="E16" s="295"/>
      <c r="F16" s="159" t="s">
        <v>320</v>
      </c>
      <c r="H16" s="13">
        <f>IF(OR(D16="一般土木工事",D16="舗装工事"),1,IF(OR(D16="建築工事",D16="電気設備工事",D16="暖冷房衛生設備工事"),2,10))</f>
        <v>10</v>
      </c>
      <c r="I16" t="s">
        <v>381</v>
      </c>
    </row>
    <row r="17" spans="3:9" ht="30" customHeight="1" x14ac:dyDescent="0.2">
      <c r="C17" s="28" t="s">
        <v>191</v>
      </c>
      <c r="D17" s="298"/>
      <c r="E17" s="299"/>
      <c r="F17" s="159"/>
      <c r="H17" s="13" t="e">
        <f>VLOOKUP(D17,リスト2!G3:I6,3,FALSE)</f>
        <v>#N/A</v>
      </c>
      <c r="I17" t="s">
        <v>228</v>
      </c>
    </row>
    <row r="18" spans="3:9" ht="30" customHeight="1" x14ac:dyDescent="0.2">
      <c r="C18" s="284" t="s">
        <v>236</v>
      </c>
      <c r="D18" s="30" t="s">
        <v>120</v>
      </c>
      <c r="E18" s="30" t="s">
        <v>126</v>
      </c>
      <c r="F18" s="284" t="s">
        <v>321</v>
      </c>
    </row>
    <row r="19" spans="3:9" ht="30" customHeight="1" x14ac:dyDescent="0.2">
      <c r="C19" s="285"/>
      <c r="D19" s="136" t="s">
        <v>168</v>
      </c>
      <c r="E19" s="136" t="s">
        <v>168</v>
      </c>
      <c r="F19" s="285"/>
    </row>
    <row r="20" spans="3:9" ht="30" customHeight="1" x14ac:dyDescent="0.2">
      <c r="C20" s="11" t="s">
        <v>128</v>
      </c>
      <c r="D20" s="1" t="str">
        <f>VLOOKUP(D19,リスト2!$C$3:$E$64,2,FALSE)</f>
        <v>-</v>
      </c>
      <c r="E20" s="1" t="str">
        <f>VLOOKUP(E19,リスト2!$C$3:$E$64,2,FALSE)</f>
        <v>-</v>
      </c>
      <c r="F20" s="1" t="s">
        <v>234</v>
      </c>
    </row>
    <row r="21" spans="3:9" ht="30" customHeight="1" x14ac:dyDescent="0.2">
      <c r="C21" s="11" t="s">
        <v>129</v>
      </c>
      <c r="D21" s="1" t="str">
        <f>VLOOKUP(D19,リスト2!$C$3:$E$64,3,FALSE)</f>
        <v>-</v>
      </c>
      <c r="E21" s="1" t="str">
        <f>VLOOKUP(E19,リスト2!$C$3:$E$64,3,FALSE)</f>
        <v>-</v>
      </c>
      <c r="F21" s="1" t="s">
        <v>127</v>
      </c>
    </row>
    <row r="22" spans="3:9" ht="30" customHeight="1" x14ac:dyDescent="0.2">
      <c r="F22" s="139" t="s">
        <v>233</v>
      </c>
    </row>
    <row r="23" spans="3:9" ht="30" customHeight="1" x14ac:dyDescent="0.2">
      <c r="C23" s="1" t="s">
        <v>124</v>
      </c>
      <c r="D23" s="31" t="e">
        <f>'2.様式第1号、第11号-1(特別簡易型)'!V47</f>
        <v>#N/A</v>
      </c>
      <c r="E23" s="1" t="s">
        <v>125</v>
      </c>
      <c r="F23" s="138" t="s">
        <v>301</v>
      </c>
    </row>
    <row r="24" spans="3:9" ht="20.100000000000001" customHeight="1" x14ac:dyDescent="0.2"/>
    <row r="33" customFormat="1" x14ac:dyDescent="0.2"/>
  </sheetData>
  <sheetProtection algorithmName="SHA-512" hashValue="FvizKE1POXK4BqbUQyDpMEm2LUxPoOISmKQze0l+Z2WIQlZsv26YLbtOs9h2IXm7aa8MIhIy4rM1pC0of5PE+w==" saltValue="RYXx6S+F9VbJ05fjqsWvFA=="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08"/>
  <sheetViews>
    <sheetView showGridLines="0" view="pageBreakPreview" zoomScaleNormal="60" zoomScaleSheetLayoutView="100" workbookViewId="0">
      <selection activeCell="H93" sqref="H93:H94"/>
    </sheetView>
  </sheetViews>
  <sheetFormatPr defaultColWidth="8.88671875" defaultRowHeight="13.2" x14ac:dyDescent="0.2"/>
  <cols>
    <col min="1" max="1" width="2" customWidth="1"/>
    <col min="2" max="3" width="3.44140625" customWidth="1"/>
    <col min="4" max="4" width="13" customWidth="1"/>
    <col min="5" max="6" width="7.21875" customWidth="1"/>
    <col min="7" max="7" width="15.21875" customWidth="1"/>
    <col min="8" max="8" width="9.332031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3" width="11.6640625" customWidth="1"/>
    <col min="44" max="44" width="12.109375" customWidth="1"/>
    <col min="45" max="45" width="11.21875" customWidth="1"/>
    <col min="46" max="46" width="12.33203125" customWidth="1"/>
  </cols>
  <sheetData>
    <row r="1" spans="1:19" ht="15" customHeight="1" x14ac:dyDescent="0.2">
      <c r="S1" s="507" t="str">
        <f>'1.基本データ(このシートは削除しないこと！)'!H1</f>
        <v>（令和８年４月１日以降の入札公告から適用）</v>
      </c>
    </row>
    <row r="2" spans="1:19" s="197" customFormat="1" ht="15" customHeight="1" x14ac:dyDescent="0.2"/>
    <row r="3" spans="1:19" s="197" customFormat="1" ht="15" customHeight="1" x14ac:dyDescent="0.2"/>
    <row r="4" spans="1:19" s="197" customFormat="1" ht="19.95" customHeight="1" x14ac:dyDescent="0.2">
      <c r="C4" s="201" t="s">
        <v>370</v>
      </c>
    </row>
    <row r="5" spans="1:19" s="197" customFormat="1" ht="38.4" customHeight="1" x14ac:dyDescent="0.2">
      <c r="A5" s="373" t="s">
        <v>369</v>
      </c>
      <c r="B5" s="373"/>
      <c r="C5" s="373"/>
      <c r="D5" s="373"/>
      <c r="E5" s="373"/>
      <c r="F5" s="373"/>
      <c r="G5" s="373"/>
      <c r="H5" s="373"/>
      <c r="I5" s="373"/>
      <c r="J5" s="373"/>
      <c r="K5" s="373"/>
      <c r="L5" s="373"/>
      <c r="M5" s="373"/>
      <c r="N5" s="373"/>
      <c r="O5" s="373"/>
      <c r="P5" s="373"/>
      <c r="Q5" s="373"/>
      <c r="R5" s="373"/>
      <c r="S5" s="373"/>
    </row>
    <row r="6" spans="1:19" s="197" customFormat="1" ht="19.95" customHeight="1" x14ac:dyDescent="0.2">
      <c r="A6" s="165"/>
      <c r="B6" s="200"/>
      <c r="C6" s="201"/>
      <c r="D6" s="201"/>
      <c r="E6" s="201"/>
      <c r="F6" s="201"/>
      <c r="G6" s="201"/>
      <c r="H6" s="201"/>
      <c r="I6" s="201"/>
      <c r="J6" s="201"/>
      <c r="K6" s="201"/>
      <c r="L6" s="201"/>
      <c r="M6" s="201"/>
      <c r="N6" s="201"/>
      <c r="O6" s="210"/>
      <c r="P6" s="210"/>
      <c r="Q6" s="375"/>
      <c r="R6" s="375"/>
      <c r="S6" s="375"/>
    </row>
    <row r="7" spans="1:19" s="197" customFormat="1" ht="19.95" customHeight="1" x14ac:dyDescent="0.2">
      <c r="A7" s="166"/>
      <c r="B7" s="203"/>
      <c r="C7" s="200"/>
      <c r="D7" s="200"/>
      <c r="E7" s="201"/>
      <c r="F7" s="201"/>
      <c r="G7" s="201"/>
      <c r="H7" s="201"/>
      <c r="I7" s="201"/>
      <c r="J7" s="201"/>
      <c r="K7" s="201"/>
      <c r="L7" s="201"/>
      <c r="M7" s="201"/>
      <c r="N7" s="201"/>
      <c r="O7" s="201"/>
      <c r="P7" s="201"/>
      <c r="Q7" s="201"/>
      <c r="R7" s="201"/>
      <c r="S7" s="201"/>
    </row>
    <row r="8" spans="1:19" s="197" customFormat="1" ht="19.95" customHeight="1" x14ac:dyDescent="0.2">
      <c r="B8" s="200"/>
      <c r="C8" s="200" t="s">
        <v>14</v>
      </c>
      <c r="D8" s="200"/>
      <c r="E8" s="201"/>
      <c r="F8" s="201"/>
      <c r="G8" s="201"/>
      <c r="H8" s="201"/>
      <c r="I8" s="201"/>
      <c r="J8" s="201"/>
      <c r="K8" s="201"/>
      <c r="L8" s="201"/>
      <c r="M8" s="201"/>
      <c r="N8" s="201"/>
      <c r="O8" s="201"/>
      <c r="P8" s="201"/>
      <c r="Q8" s="201"/>
      <c r="R8" s="201"/>
      <c r="S8" s="201"/>
    </row>
    <row r="9" spans="1:19" s="197" customFormat="1" ht="19.95" customHeight="1" x14ac:dyDescent="0.2">
      <c r="A9" s="166"/>
      <c r="B9" s="203"/>
      <c r="C9" s="200"/>
      <c r="D9" s="200"/>
      <c r="E9" s="201"/>
      <c r="F9" s="201"/>
      <c r="G9" s="201"/>
      <c r="H9" s="201"/>
      <c r="I9" s="201"/>
      <c r="J9" s="201"/>
      <c r="K9" s="201"/>
      <c r="L9" s="201"/>
      <c r="M9" s="201"/>
      <c r="N9" s="201"/>
      <c r="O9" s="201"/>
      <c r="P9" s="201"/>
      <c r="Q9" s="201"/>
      <c r="R9" s="201"/>
      <c r="S9" s="201"/>
    </row>
    <row r="10" spans="1:19" s="197" customFormat="1" ht="25.05" customHeight="1" x14ac:dyDescent="0.2">
      <c r="A10" s="166"/>
      <c r="B10" s="200"/>
      <c r="C10" s="201"/>
      <c r="D10" s="201"/>
      <c r="E10" s="201"/>
      <c r="F10" s="201"/>
      <c r="G10" s="201"/>
      <c r="H10" s="201"/>
      <c r="I10" s="201"/>
      <c r="J10" s="201"/>
      <c r="K10" s="201"/>
      <c r="L10" s="314" t="str">
        <f>IF('1.基本データ(このシートは削除しないこと！)'!H11=0,"",'1.基本データ(このシートは削除しないこと！)'!H11)</f>
        <v>○○・△△特定建設工事共同企業体</v>
      </c>
      <c r="M10" s="314"/>
      <c r="N10" s="314"/>
      <c r="O10" s="314"/>
      <c r="P10" s="314"/>
      <c r="Q10" s="314"/>
      <c r="R10" s="314"/>
      <c r="S10" s="314"/>
    </row>
    <row r="11" spans="1:19" s="197" customFormat="1" ht="25.05" customHeight="1" x14ac:dyDescent="0.2">
      <c r="B11" s="201"/>
      <c r="C11" s="201"/>
      <c r="D11" s="201"/>
      <c r="E11" s="201"/>
      <c r="F11" s="201"/>
      <c r="G11" s="201"/>
      <c r="H11" s="201"/>
      <c r="I11" s="201"/>
      <c r="J11" s="201"/>
      <c r="K11" s="202" t="str">
        <f>IF('1.基本データ(このシートは削除しないこと！)'!H11=0," ","代表構成員")</f>
        <v>代表構成員</v>
      </c>
      <c r="L11" s="315" t="str">
        <f>'1.基本データ(このシートは削除しないこと！)'!H6</f>
        <v>○○市○○町○○番地</v>
      </c>
      <c r="M11" s="315"/>
      <c r="N11" s="315"/>
      <c r="O11" s="315"/>
      <c r="P11" s="315"/>
      <c r="Q11" s="315"/>
      <c r="R11" s="315"/>
      <c r="S11" s="315"/>
    </row>
    <row r="12" spans="1:19" s="197" customFormat="1" ht="25.05" customHeight="1" x14ac:dyDescent="0.25">
      <c r="A12" s="165"/>
      <c r="B12" s="201"/>
      <c r="C12" s="201"/>
      <c r="D12" s="201"/>
      <c r="E12" s="201"/>
      <c r="F12" s="201"/>
      <c r="G12" s="320" t="s">
        <v>371</v>
      </c>
      <c r="H12" s="320"/>
      <c r="I12" s="320"/>
      <c r="J12" s="320"/>
      <c r="K12" s="320"/>
      <c r="L12" s="315"/>
      <c r="M12" s="315"/>
      <c r="N12" s="315"/>
      <c r="O12" s="315"/>
      <c r="P12" s="315"/>
      <c r="Q12" s="315"/>
      <c r="R12" s="315"/>
      <c r="S12" s="315"/>
    </row>
    <row r="13" spans="1:19" s="197" customFormat="1" ht="25.05" customHeight="1" x14ac:dyDescent="0.25">
      <c r="A13" s="165"/>
      <c r="B13" s="201"/>
      <c r="C13" s="201"/>
      <c r="D13" s="201"/>
      <c r="E13" s="201"/>
      <c r="F13" s="201"/>
      <c r="G13" s="320" t="s">
        <v>5</v>
      </c>
      <c r="H13" s="320"/>
      <c r="I13" s="320"/>
      <c r="J13" s="320"/>
      <c r="K13" s="320"/>
      <c r="L13" s="316" t="str">
        <f>'1.基本データ(このシートは削除しないこと！)'!H7</f>
        <v>株式会社○○○○</v>
      </c>
      <c r="M13" s="316"/>
      <c r="N13" s="316"/>
      <c r="O13" s="316"/>
      <c r="P13" s="316"/>
      <c r="Q13" s="316"/>
      <c r="R13" s="316"/>
      <c r="S13" s="316"/>
    </row>
    <row r="14" spans="1:19" s="197" customFormat="1" ht="25.05" customHeight="1" x14ac:dyDescent="0.25">
      <c r="A14" s="165"/>
      <c r="B14" s="201"/>
      <c r="C14" s="201"/>
      <c r="D14" s="201"/>
      <c r="E14" s="201"/>
      <c r="F14" s="201"/>
      <c r="G14" s="320" t="s">
        <v>12</v>
      </c>
      <c r="H14" s="320"/>
      <c r="I14" s="320"/>
      <c r="J14" s="320"/>
      <c r="K14" s="320"/>
      <c r="L14" s="316" t="str">
        <f>'1.基本データ(このシートは削除しないこと！)'!H8</f>
        <v>代表取締役　○○○○</v>
      </c>
      <c r="M14" s="316"/>
      <c r="N14" s="316"/>
      <c r="O14" s="316"/>
      <c r="P14" s="316"/>
      <c r="Q14" s="316"/>
      <c r="R14" s="316"/>
      <c r="S14" s="316"/>
    </row>
    <row r="15" spans="1:19" s="197" customFormat="1" ht="25.05" customHeight="1" x14ac:dyDescent="0.2">
      <c r="A15" s="165"/>
      <c r="B15" s="204"/>
      <c r="C15" s="205"/>
      <c r="D15" s="200"/>
      <c r="E15" s="201"/>
      <c r="F15" s="201"/>
      <c r="G15" s="206"/>
      <c r="H15" s="206"/>
      <c r="I15" s="206"/>
      <c r="J15" s="206"/>
      <c r="K15" s="206"/>
      <c r="L15" s="206"/>
      <c r="M15" s="206"/>
      <c r="N15" s="206"/>
      <c r="O15" s="206"/>
      <c r="P15" s="206"/>
      <c r="Q15" s="206"/>
      <c r="R15" s="206"/>
      <c r="S15" s="206"/>
    </row>
    <row r="16" spans="1:19" s="197" customFormat="1" ht="25.05" customHeight="1" x14ac:dyDescent="0.2">
      <c r="A16" s="165"/>
      <c r="B16" s="201"/>
      <c r="C16" s="201"/>
      <c r="D16" s="200"/>
      <c r="E16" s="201"/>
      <c r="F16" s="201"/>
      <c r="G16" s="319" t="s">
        <v>6</v>
      </c>
      <c r="H16" s="319"/>
      <c r="I16" s="319"/>
      <c r="J16" s="319"/>
      <c r="K16" s="319"/>
      <c r="L16" s="314" t="str">
        <f>'1.基本データ(このシートは削除しないこと！)'!H9</f>
        <v>000-000-0000</v>
      </c>
      <c r="M16" s="314"/>
      <c r="N16" s="314"/>
      <c r="O16" s="314"/>
      <c r="P16" s="314"/>
      <c r="Q16" s="314"/>
      <c r="R16" s="314"/>
      <c r="S16" s="314"/>
    </row>
    <row r="17" spans="1:19" s="197" customFormat="1" ht="25.05" customHeight="1" x14ac:dyDescent="0.2">
      <c r="A17" s="165"/>
      <c r="B17" s="201"/>
      <c r="C17" s="201"/>
      <c r="D17" s="200"/>
      <c r="E17" s="201"/>
      <c r="F17" s="201"/>
      <c r="G17" s="318" t="s">
        <v>13</v>
      </c>
      <c r="H17" s="318"/>
      <c r="I17" s="318"/>
      <c r="J17" s="318"/>
      <c r="K17" s="318"/>
      <c r="L17" s="317" t="str">
        <f>'1.基本データ(このシートは削除しないこと！)'!H10</f>
        <v>○○○○</v>
      </c>
      <c r="M17" s="317"/>
      <c r="N17" s="317"/>
      <c r="O17" s="317"/>
      <c r="P17" s="317"/>
      <c r="Q17" s="317"/>
      <c r="R17" s="317"/>
      <c r="S17" s="317"/>
    </row>
    <row r="18" spans="1:19" s="197" customFormat="1" ht="19.95" customHeight="1" x14ac:dyDescent="0.2">
      <c r="A18" s="166"/>
      <c r="B18" s="203"/>
      <c r="C18" s="200"/>
      <c r="D18" s="200"/>
      <c r="E18" s="201"/>
      <c r="F18" s="201"/>
      <c r="G18" s="201"/>
      <c r="H18" s="201"/>
      <c r="I18" s="201"/>
      <c r="J18" s="201"/>
      <c r="K18" s="201"/>
      <c r="L18" s="201"/>
      <c r="M18" s="201"/>
      <c r="N18" s="201"/>
      <c r="O18" s="201"/>
      <c r="P18" s="201"/>
      <c r="Q18" s="201"/>
      <c r="R18" s="201"/>
      <c r="S18" s="201"/>
    </row>
    <row r="19" spans="1:19" s="197" customFormat="1" ht="19.95" customHeight="1" x14ac:dyDescent="0.2">
      <c r="B19" s="201"/>
      <c r="C19" s="201"/>
      <c r="D19" s="201"/>
      <c r="E19" s="201"/>
      <c r="F19" s="201"/>
      <c r="G19" s="201"/>
      <c r="H19" s="201"/>
      <c r="I19" s="201"/>
      <c r="J19" s="201"/>
      <c r="K19" s="201"/>
      <c r="L19" s="201"/>
      <c r="M19" s="201"/>
      <c r="N19" s="201"/>
      <c r="O19" s="201"/>
      <c r="P19" s="201"/>
      <c r="Q19" s="201"/>
      <c r="R19" s="201"/>
      <c r="S19" s="201"/>
    </row>
    <row r="20" spans="1:19" s="197" customFormat="1" ht="19.95" customHeight="1" x14ac:dyDescent="0.2">
      <c r="B20" s="201"/>
      <c r="C20" s="374"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74"/>
      <c r="E20" s="374"/>
      <c r="F20" s="374"/>
      <c r="G20" s="374"/>
      <c r="H20" s="374"/>
      <c r="I20" s="374"/>
      <c r="J20" s="374"/>
      <c r="K20" s="374"/>
      <c r="L20" s="374"/>
      <c r="M20" s="374"/>
      <c r="N20" s="374"/>
      <c r="O20" s="374"/>
      <c r="P20" s="374"/>
      <c r="Q20" s="374"/>
      <c r="R20" s="374"/>
      <c r="S20" s="374"/>
    </row>
    <row r="21" spans="1:19" s="197" customFormat="1" ht="19.95" customHeight="1" x14ac:dyDescent="0.2">
      <c r="B21" s="201"/>
      <c r="C21" s="374"/>
      <c r="D21" s="374"/>
      <c r="E21" s="374"/>
      <c r="F21" s="374"/>
      <c r="G21" s="374"/>
      <c r="H21" s="374"/>
      <c r="I21" s="374"/>
      <c r="J21" s="374"/>
      <c r="K21" s="374"/>
      <c r="L21" s="374"/>
      <c r="M21" s="374"/>
      <c r="N21" s="374"/>
      <c r="O21" s="374"/>
      <c r="P21" s="374"/>
      <c r="Q21" s="374"/>
      <c r="R21" s="374"/>
      <c r="S21" s="374"/>
    </row>
    <row r="22" spans="1:19" s="197" customFormat="1" ht="19.95" customHeight="1" x14ac:dyDescent="0.2">
      <c r="B22" s="201"/>
      <c r="C22" s="374"/>
      <c r="D22" s="374"/>
      <c r="E22" s="374"/>
      <c r="F22" s="374"/>
      <c r="G22" s="374"/>
      <c r="H22" s="374"/>
      <c r="I22" s="374"/>
      <c r="J22" s="374"/>
      <c r="K22" s="374"/>
      <c r="L22" s="374"/>
      <c r="M22" s="374"/>
      <c r="N22" s="374"/>
      <c r="O22" s="374"/>
      <c r="P22" s="374"/>
      <c r="Q22" s="374"/>
      <c r="R22" s="374"/>
      <c r="S22" s="374"/>
    </row>
    <row r="23" spans="1:19" s="197" customFormat="1" ht="19.95" customHeight="1" x14ac:dyDescent="0.2">
      <c r="B23" s="201"/>
      <c r="C23" s="374"/>
      <c r="D23" s="374"/>
      <c r="E23" s="374"/>
      <c r="F23" s="374"/>
      <c r="G23" s="374"/>
      <c r="H23" s="374"/>
      <c r="I23" s="374"/>
      <c r="J23" s="374"/>
      <c r="K23" s="374"/>
      <c r="L23" s="374"/>
      <c r="M23" s="374"/>
      <c r="N23" s="374"/>
      <c r="O23" s="374"/>
      <c r="P23" s="374"/>
      <c r="Q23" s="374"/>
      <c r="R23" s="374"/>
      <c r="S23" s="374"/>
    </row>
    <row r="24" spans="1:19" s="197" customFormat="1" ht="19.95" customHeight="1" x14ac:dyDescent="0.2">
      <c r="B24" s="201"/>
      <c r="C24" s="374"/>
      <c r="D24" s="374"/>
      <c r="E24" s="374"/>
      <c r="F24" s="374"/>
      <c r="G24" s="374"/>
      <c r="H24" s="374"/>
      <c r="I24" s="374"/>
      <c r="J24" s="374"/>
      <c r="K24" s="374"/>
      <c r="L24" s="374"/>
      <c r="M24" s="374"/>
      <c r="N24" s="374"/>
      <c r="O24" s="374"/>
      <c r="P24" s="374"/>
      <c r="Q24" s="374"/>
      <c r="R24" s="374"/>
      <c r="S24" s="374"/>
    </row>
    <row r="25" spans="1:19" s="197" customFormat="1" ht="19.95" customHeight="1" x14ac:dyDescent="0.2">
      <c r="B25" s="201"/>
      <c r="C25" s="201"/>
      <c r="D25" s="201"/>
      <c r="E25" s="201"/>
      <c r="F25" s="201"/>
      <c r="G25" s="201"/>
      <c r="H25" s="201"/>
      <c r="I25" s="201"/>
      <c r="J25" s="201"/>
      <c r="K25" s="201"/>
      <c r="L25" s="201"/>
      <c r="M25" s="201"/>
      <c r="N25" s="201"/>
      <c r="O25" s="201"/>
      <c r="P25" s="201"/>
      <c r="Q25" s="201"/>
      <c r="R25" s="201"/>
      <c r="S25" s="201"/>
    </row>
    <row r="26" spans="1:19" s="199" customFormat="1" ht="22.95" customHeight="1" x14ac:dyDescent="0.2">
      <c r="B26" s="201"/>
      <c r="C26" s="204" t="s">
        <v>372</v>
      </c>
      <c r="D26" s="204"/>
      <c r="E26" s="204"/>
      <c r="F26" s="204"/>
      <c r="G26" s="207"/>
      <c r="H26" s="207"/>
      <c r="I26" s="207"/>
      <c r="J26" s="207"/>
      <c r="K26" s="207"/>
      <c r="L26" s="207"/>
      <c r="M26" s="207"/>
      <c r="N26" s="207"/>
      <c r="O26" s="207"/>
      <c r="P26" s="207"/>
      <c r="Q26" s="207"/>
      <c r="R26" s="207"/>
      <c r="S26" s="207"/>
    </row>
    <row r="27" spans="1:19" s="199" customFormat="1" ht="22.95" customHeight="1" x14ac:dyDescent="0.2">
      <c r="B27" s="201"/>
      <c r="C27" s="204" t="s">
        <v>373</v>
      </c>
      <c r="D27" s="204"/>
      <c r="E27" s="204"/>
      <c r="F27" s="204"/>
      <c r="G27" s="207"/>
      <c r="H27" s="207"/>
      <c r="I27" s="207"/>
      <c r="J27" s="207"/>
      <c r="K27" s="207"/>
      <c r="L27" s="207"/>
      <c r="M27" s="207"/>
      <c r="N27" s="207"/>
      <c r="O27" s="207"/>
      <c r="P27" s="207"/>
      <c r="Q27" s="207"/>
      <c r="R27" s="207"/>
      <c r="S27" s="207"/>
    </row>
    <row r="28" spans="1:19" s="199" customFormat="1" ht="22.95" customHeight="1" x14ac:dyDescent="0.2">
      <c r="B28" s="201"/>
      <c r="C28" s="200" t="s">
        <v>375</v>
      </c>
      <c r="D28" s="200"/>
      <c r="E28" s="200"/>
      <c r="F28" s="200"/>
      <c r="G28" s="201"/>
      <c r="H28" s="201"/>
      <c r="I28" s="201"/>
      <c r="J28" s="201"/>
      <c r="K28" s="201"/>
      <c r="L28" s="201"/>
      <c r="M28" s="201"/>
      <c r="N28" s="201"/>
      <c r="O28" s="201"/>
      <c r="P28" s="201"/>
      <c r="Q28" s="201"/>
      <c r="R28" s="201"/>
      <c r="S28" s="201"/>
    </row>
    <row r="29" spans="1:19" s="199" customFormat="1" ht="22.95" customHeight="1" x14ac:dyDescent="0.2">
      <c r="B29" s="201"/>
      <c r="C29" s="204"/>
      <c r="D29" s="204"/>
      <c r="E29" s="204"/>
      <c r="F29" s="204"/>
      <c r="G29" s="201"/>
      <c r="H29" s="201"/>
      <c r="I29" s="201"/>
      <c r="J29" s="201"/>
      <c r="K29" s="201"/>
      <c r="L29" s="201"/>
      <c r="M29" s="201"/>
      <c r="N29" s="201"/>
      <c r="O29" s="201"/>
      <c r="P29" s="201"/>
      <c r="Q29" s="201"/>
      <c r="R29" s="201"/>
      <c r="S29" s="201"/>
    </row>
    <row r="30" spans="1:19" s="199" customFormat="1" ht="22.95" customHeight="1" x14ac:dyDescent="0.2">
      <c r="B30" s="201"/>
      <c r="C30" s="200" t="s">
        <v>242</v>
      </c>
      <c r="D30" s="200"/>
      <c r="E30" s="200"/>
      <c r="F30" s="200"/>
      <c r="G30" s="201"/>
      <c r="H30" s="201"/>
      <c r="I30" s="201"/>
      <c r="J30" s="201"/>
      <c r="K30" s="201"/>
      <c r="L30" s="201"/>
      <c r="M30" s="201"/>
      <c r="N30" s="201"/>
      <c r="O30" s="201"/>
      <c r="P30" s="201"/>
      <c r="Q30" s="201"/>
      <c r="R30" s="201"/>
      <c r="S30" s="201"/>
    </row>
    <row r="31" spans="1:19" s="199" customFormat="1" ht="22.95" customHeight="1" x14ac:dyDescent="0.2">
      <c r="B31" s="201"/>
      <c r="C31" s="200" t="s">
        <v>374</v>
      </c>
      <c r="D31" s="200"/>
      <c r="E31" s="200"/>
      <c r="F31" s="200"/>
      <c r="G31" s="201"/>
      <c r="H31" s="201"/>
      <c r="I31" s="201"/>
      <c r="J31" s="201"/>
      <c r="K31" s="201"/>
      <c r="L31" s="201"/>
      <c r="M31" s="201"/>
      <c r="N31" s="201"/>
      <c r="O31" s="201"/>
      <c r="P31" s="201"/>
      <c r="Q31" s="201"/>
      <c r="R31" s="201"/>
      <c r="S31" s="201"/>
    </row>
    <row r="32" spans="1:19" s="199" customFormat="1" ht="22.95" customHeight="1" x14ac:dyDescent="0.2">
      <c r="B32" s="201"/>
      <c r="C32" s="200" t="s">
        <v>376</v>
      </c>
      <c r="D32" s="200"/>
      <c r="E32" s="200"/>
      <c r="F32" s="200"/>
      <c r="G32" s="201"/>
      <c r="H32" s="201"/>
      <c r="I32" s="201"/>
      <c r="J32" s="201"/>
      <c r="K32" s="201"/>
      <c r="L32" s="201"/>
      <c r="M32" s="201"/>
      <c r="N32" s="201"/>
      <c r="O32" s="201"/>
      <c r="P32" s="201"/>
      <c r="Q32" s="201"/>
      <c r="R32" s="201"/>
      <c r="S32" s="201"/>
    </row>
    <row r="33" spans="1:22" s="199" customFormat="1" ht="22.95" customHeight="1" x14ac:dyDescent="0.2">
      <c r="B33" s="201"/>
      <c r="C33" s="200"/>
      <c r="D33" s="200"/>
      <c r="E33" s="200"/>
      <c r="F33" s="200"/>
      <c r="G33" s="201"/>
      <c r="H33" s="201"/>
      <c r="I33" s="201"/>
      <c r="J33" s="201"/>
      <c r="K33" s="201"/>
      <c r="L33" s="201"/>
      <c r="M33" s="201"/>
      <c r="N33" s="201"/>
      <c r="O33" s="201"/>
      <c r="P33" s="201"/>
      <c r="Q33" s="201"/>
      <c r="R33" s="201"/>
      <c r="S33" s="201"/>
    </row>
    <row r="34" spans="1:22" s="199" customFormat="1" ht="22.95" customHeight="1" x14ac:dyDescent="0.2">
      <c r="B34" s="201"/>
      <c r="C34" s="200" t="s">
        <v>243</v>
      </c>
      <c r="D34" s="200"/>
      <c r="E34" s="200"/>
      <c r="F34" s="200"/>
      <c r="G34" s="201"/>
      <c r="H34" s="201"/>
      <c r="I34" s="201"/>
      <c r="J34" s="201"/>
      <c r="K34" s="201"/>
      <c r="L34" s="201"/>
      <c r="M34" s="201"/>
      <c r="N34" s="201"/>
      <c r="O34" s="201"/>
      <c r="P34" s="201"/>
      <c r="Q34" s="201"/>
      <c r="R34" s="201"/>
      <c r="S34" s="201"/>
    </row>
    <row r="35" spans="1:22" s="199" customFormat="1" ht="22.95" customHeight="1" x14ac:dyDescent="0.2">
      <c r="B35" s="201"/>
      <c r="C35" s="200" t="s">
        <v>7</v>
      </c>
      <c r="D35" s="200"/>
      <c r="E35" s="200"/>
      <c r="F35" s="200"/>
      <c r="G35" s="201"/>
      <c r="H35" s="201"/>
      <c r="I35" s="201"/>
      <c r="J35" s="201"/>
      <c r="K35" s="201"/>
      <c r="L35" s="201"/>
      <c r="M35" s="201"/>
      <c r="N35" s="201"/>
      <c r="O35" s="201"/>
      <c r="P35" s="201"/>
      <c r="Q35" s="201"/>
      <c r="R35" s="201"/>
      <c r="S35" s="201"/>
    </row>
    <row r="36" spans="1:22" s="199" customFormat="1" ht="22.95" customHeight="1" x14ac:dyDescent="0.2">
      <c r="B36" s="201"/>
      <c r="C36" s="200" t="s">
        <v>8</v>
      </c>
      <c r="D36" s="200"/>
      <c r="E36" s="200"/>
      <c r="F36" s="200"/>
      <c r="G36" s="201"/>
      <c r="H36" s="201"/>
      <c r="I36" s="201"/>
      <c r="J36" s="201"/>
      <c r="K36" s="201"/>
      <c r="L36" s="201"/>
      <c r="M36" s="201"/>
      <c r="N36" s="201"/>
      <c r="O36" s="201"/>
      <c r="P36" s="201"/>
      <c r="Q36" s="201"/>
      <c r="R36" s="201"/>
      <c r="S36" s="201"/>
    </row>
    <row r="37" spans="1:22" s="199" customFormat="1" ht="22.95" customHeight="1" x14ac:dyDescent="0.2">
      <c r="B37" s="201"/>
      <c r="C37" s="200" t="s">
        <v>9</v>
      </c>
      <c r="D37" s="200"/>
      <c r="E37" s="200"/>
      <c r="F37" s="200"/>
      <c r="G37" s="201"/>
      <c r="H37" s="201"/>
      <c r="I37" s="201"/>
      <c r="J37" s="201"/>
      <c r="K37" s="201"/>
      <c r="L37" s="201"/>
      <c r="M37" s="201"/>
      <c r="N37" s="201"/>
      <c r="O37" s="201"/>
      <c r="P37" s="201"/>
      <c r="Q37" s="201"/>
      <c r="R37" s="201"/>
      <c r="S37" s="201"/>
    </row>
    <row r="38" spans="1:22" s="199" customFormat="1" ht="22.95" customHeight="1" x14ac:dyDescent="0.2">
      <c r="B38" s="201"/>
      <c r="C38" s="200" t="s">
        <v>10</v>
      </c>
      <c r="D38" s="200"/>
      <c r="E38" s="200"/>
      <c r="F38" s="200"/>
      <c r="G38" s="201"/>
      <c r="H38" s="201"/>
      <c r="I38" s="201"/>
      <c r="J38" s="201"/>
      <c r="K38" s="201"/>
      <c r="L38" s="201"/>
      <c r="M38" s="201"/>
      <c r="N38" s="201"/>
      <c r="O38" s="201"/>
      <c r="P38" s="201"/>
      <c r="Q38" s="201"/>
      <c r="R38" s="201"/>
      <c r="S38" s="201"/>
    </row>
    <row r="39" spans="1:22" s="199" customFormat="1" ht="22.95" customHeight="1" x14ac:dyDescent="0.2">
      <c r="B39" s="201"/>
      <c r="C39" s="200"/>
      <c r="D39" s="200"/>
      <c r="E39" s="200"/>
      <c r="F39" s="200"/>
      <c r="G39" s="201"/>
      <c r="H39" s="201"/>
      <c r="I39" s="201"/>
      <c r="J39" s="201"/>
      <c r="K39" s="201"/>
      <c r="L39" s="201"/>
      <c r="M39" s="201"/>
      <c r="N39" s="201"/>
      <c r="O39" s="201"/>
      <c r="P39" s="201"/>
      <c r="Q39" s="201"/>
      <c r="R39" s="201"/>
      <c r="S39" s="201"/>
    </row>
    <row r="40" spans="1:22" s="199" customFormat="1" ht="22.95" customHeight="1" x14ac:dyDescent="0.2">
      <c r="B40" s="201"/>
      <c r="C40" s="200" t="s">
        <v>244</v>
      </c>
      <c r="D40" s="200"/>
      <c r="E40" s="200"/>
      <c r="F40" s="200"/>
      <c r="G40" s="201"/>
      <c r="H40" s="201"/>
      <c r="I40" s="201"/>
      <c r="J40" s="201"/>
      <c r="K40" s="201"/>
      <c r="L40" s="201"/>
      <c r="M40" s="201"/>
      <c r="N40" s="201"/>
      <c r="O40" s="201"/>
      <c r="P40" s="201"/>
      <c r="Q40" s="201"/>
      <c r="R40" s="201"/>
      <c r="S40" s="201"/>
    </row>
    <row r="41" spans="1:22" s="199" customFormat="1" ht="22.95" customHeight="1" x14ac:dyDescent="0.2">
      <c r="B41" s="201"/>
      <c r="C41" s="200" t="s">
        <v>7</v>
      </c>
      <c r="D41" s="200"/>
      <c r="E41" s="200"/>
      <c r="F41" s="200"/>
      <c r="G41" s="201"/>
      <c r="H41" s="201"/>
      <c r="I41" s="201"/>
      <c r="J41" s="201"/>
      <c r="K41" s="201"/>
      <c r="L41" s="201"/>
      <c r="M41" s="201"/>
      <c r="N41" s="201"/>
      <c r="O41" s="201"/>
      <c r="P41" s="201"/>
      <c r="Q41" s="201"/>
      <c r="R41" s="201"/>
      <c r="S41" s="201"/>
    </row>
    <row r="42" spans="1:22" s="199" customFormat="1" ht="22.95" customHeight="1" x14ac:dyDescent="0.2">
      <c r="B42" s="201"/>
      <c r="C42" s="200" t="s">
        <v>8</v>
      </c>
      <c r="D42" s="200"/>
      <c r="E42" s="200"/>
      <c r="F42" s="200"/>
      <c r="G42" s="201"/>
      <c r="H42" s="201"/>
      <c r="I42" s="201"/>
      <c r="J42" s="201"/>
      <c r="K42" s="201"/>
      <c r="L42" s="201"/>
      <c r="M42" s="201"/>
      <c r="N42" s="201"/>
      <c r="O42" s="201"/>
      <c r="P42" s="201"/>
      <c r="Q42" s="201"/>
      <c r="R42" s="201"/>
      <c r="S42" s="201"/>
    </row>
    <row r="43" spans="1:22" s="199" customFormat="1" ht="22.95" customHeight="1" x14ac:dyDescent="0.2">
      <c r="B43" s="201"/>
      <c r="C43" s="200" t="s">
        <v>9</v>
      </c>
      <c r="D43" s="200"/>
      <c r="E43" s="200"/>
      <c r="F43" s="200"/>
      <c r="G43" s="201"/>
      <c r="H43" s="201"/>
      <c r="I43" s="201"/>
      <c r="J43" s="201"/>
      <c r="K43" s="201"/>
      <c r="L43" s="201"/>
      <c r="M43" s="201"/>
      <c r="N43" s="201"/>
      <c r="O43" s="201"/>
      <c r="P43" s="201"/>
      <c r="Q43" s="201"/>
      <c r="R43" s="201"/>
      <c r="S43" s="201"/>
    </row>
    <row r="44" spans="1:22" s="199" customFormat="1" ht="22.95" customHeight="1" x14ac:dyDescent="0.2">
      <c r="B44" s="201"/>
      <c r="C44" s="200" t="s">
        <v>10</v>
      </c>
      <c r="D44" s="200"/>
      <c r="E44" s="200"/>
      <c r="F44" s="200"/>
      <c r="G44" s="201"/>
      <c r="H44" s="201"/>
      <c r="I44" s="201"/>
      <c r="J44" s="201"/>
      <c r="K44" s="201"/>
      <c r="L44" s="201"/>
      <c r="M44" s="201"/>
      <c r="N44" s="201"/>
      <c r="O44" s="201"/>
      <c r="P44" s="201"/>
      <c r="Q44" s="201"/>
      <c r="R44" s="201"/>
      <c r="S44" s="201"/>
    </row>
    <row r="45" spans="1:22" s="199" customFormat="1" ht="22.95" customHeight="1" x14ac:dyDescent="0.2">
      <c r="B45" s="201"/>
      <c r="C45" s="200" t="s">
        <v>11</v>
      </c>
      <c r="D45" s="200"/>
      <c r="E45" s="200"/>
      <c r="F45" s="200"/>
      <c r="G45" s="201"/>
      <c r="H45" s="201"/>
      <c r="I45" s="201"/>
      <c r="J45" s="201"/>
      <c r="K45" s="201"/>
      <c r="L45" s="201"/>
      <c r="M45" s="201"/>
      <c r="N45" s="201"/>
      <c r="O45" s="201"/>
      <c r="P45" s="201"/>
      <c r="Q45" s="201"/>
      <c r="R45" s="201"/>
      <c r="S45" s="201"/>
    </row>
    <row r="46" spans="1:22" s="197" customFormat="1" ht="19.95" customHeight="1" thickBot="1" x14ac:dyDescent="0.25">
      <c r="A46" s="198"/>
      <c r="B46" s="208"/>
      <c r="C46" s="208"/>
      <c r="D46" s="209"/>
      <c r="E46" s="209"/>
      <c r="F46" s="209"/>
      <c r="G46" s="209"/>
      <c r="H46" s="209"/>
      <c r="I46" s="209"/>
      <c r="J46" s="209"/>
      <c r="K46" s="209"/>
      <c r="L46" s="209"/>
      <c r="M46" s="209"/>
      <c r="N46" s="209"/>
      <c r="O46" s="209"/>
      <c r="P46" s="209"/>
      <c r="Q46" s="201"/>
      <c r="R46" s="201"/>
      <c r="S46" s="201"/>
    </row>
    <row r="47" spans="1:22" ht="30" customHeight="1" thickTop="1" thickBot="1" x14ac:dyDescent="0.25">
      <c r="A47" s="12"/>
      <c r="B47" s="35"/>
      <c r="C47" s="35"/>
      <c r="D47" s="36"/>
      <c r="E47" s="36"/>
      <c r="F47" s="36"/>
      <c r="G47" s="36"/>
      <c r="H47" s="36"/>
      <c r="I47" s="36"/>
      <c r="J47" s="36"/>
      <c r="K47" s="36"/>
      <c r="L47" s="36"/>
      <c r="M47" s="36"/>
      <c r="N47" s="36"/>
      <c r="O47" s="36"/>
      <c r="P47" s="36"/>
      <c r="Q47" s="193"/>
      <c r="R47" s="193"/>
      <c r="S47" s="508" t="str">
        <f>'1.基本データ(このシートは削除しないこと！)'!H1</f>
        <v>（令和８年４月１日以降の入札公告から適用）</v>
      </c>
      <c r="T47" s="436" t="s">
        <v>2</v>
      </c>
      <c r="U47" s="437"/>
      <c r="V47" s="37" t="e">
        <f>SUM(F52:F102)</f>
        <v>#N/A</v>
      </c>
    </row>
    <row r="48" spans="1:22" ht="14.25" customHeight="1" thickTop="1" x14ac:dyDescent="0.2">
      <c r="A48" s="12"/>
      <c r="B48" s="442" t="s">
        <v>245</v>
      </c>
      <c r="C48" s="442"/>
      <c r="D48" s="442"/>
      <c r="E48" s="442"/>
      <c r="F48" s="442"/>
      <c r="G48" s="442"/>
      <c r="H48" s="442"/>
      <c r="I48" s="162"/>
      <c r="J48" s="162"/>
      <c r="K48" s="162"/>
      <c r="L48" s="162"/>
      <c r="M48" s="162"/>
      <c r="N48" s="162"/>
      <c r="O48" s="162"/>
      <c r="P48" s="162"/>
      <c r="Q48" s="38"/>
      <c r="S48" s="39" t="s">
        <v>238</v>
      </c>
    </row>
    <row r="49" spans="1:43" ht="16.5" customHeight="1" x14ac:dyDescent="0.2">
      <c r="A49" s="12"/>
      <c r="B49" s="438" t="s">
        <v>139</v>
      </c>
      <c r="C49" s="438"/>
      <c r="D49" s="438"/>
      <c r="E49" s="439" t="str">
        <f>'1.基本データ(このシートは削除しないこと！)'!H14&amp;'1.基本データ(このシートは削除しないこと！)'!H15</f>
        <v>第○○-○○○○○-○○○○号 ○○○○○○○○○○○○工事</v>
      </c>
      <c r="F49" s="439"/>
      <c r="G49" s="439"/>
      <c r="H49" s="439"/>
      <c r="I49" s="439"/>
      <c r="J49" s="439"/>
      <c r="K49" s="439"/>
      <c r="L49" s="439"/>
      <c r="M49" s="439"/>
      <c r="N49" s="439"/>
      <c r="O49" s="439"/>
      <c r="P49" s="439"/>
      <c r="Q49" s="439"/>
      <c r="R49" s="439"/>
    </row>
    <row r="50" spans="1:43"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3" ht="22.5" customHeight="1" thickBot="1" x14ac:dyDescent="0.25">
      <c r="A51" s="12"/>
      <c r="B51" s="440" t="s">
        <v>344</v>
      </c>
      <c r="C51" s="440"/>
      <c r="D51" s="440"/>
      <c r="E51" s="43" t="s">
        <v>169</v>
      </c>
      <c r="F51" s="44" t="s">
        <v>1</v>
      </c>
      <c r="G51" s="358" t="s">
        <v>325</v>
      </c>
      <c r="H51" s="359"/>
      <c r="I51" s="359"/>
      <c r="J51" s="359"/>
      <c r="K51" s="359"/>
      <c r="L51" s="359"/>
      <c r="M51" s="359"/>
      <c r="N51" s="359"/>
      <c r="O51" s="359"/>
      <c r="P51" s="359"/>
      <c r="Q51" s="359"/>
      <c r="R51" s="359"/>
      <c r="S51" s="360"/>
      <c r="V51" s="45" t="s">
        <v>136</v>
      </c>
      <c r="AB51" s="46"/>
      <c r="AC51" s="46"/>
      <c r="AD51" s="47" t="s">
        <v>171</v>
      </c>
      <c r="AE51" s="160" t="s">
        <v>172</v>
      </c>
      <c r="AG51" s="46"/>
      <c r="AH51" s="46"/>
      <c r="AP51" s="149" t="s">
        <v>173</v>
      </c>
      <c r="AQ51" s="265"/>
    </row>
    <row r="52" spans="1:43" ht="34.950000000000003" customHeight="1" thickBot="1" x14ac:dyDescent="0.25">
      <c r="A52" s="12"/>
      <c r="B52" s="308" t="s">
        <v>220</v>
      </c>
      <c r="C52" s="443" t="s">
        <v>356</v>
      </c>
      <c r="D52" s="342"/>
      <c r="E52" s="446">
        <f>AD52</f>
        <v>2</v>
      </c>
      <c r="F52" s="441" t="str">
        <f>IF(Y52=0,"-",AP52)</f>
        <v>-</v>
      </c>
      <c r="G52" s="382" t="s">
        <v>138</v>
      </c>
      <c r="H52" s="420"/>
      <c r="I52" s="432"/>
      <c r="J52" s="433"/>
      <c r="K52" s="433"/>
      <c r="L52" s="433"/>
      <c r="M52" s="433"/>
      <c r="N52" s="433"/>
      <c r="O52" s="433"/>
      <c r="P52" s="433"/>
      <c r="Q52" s="434"/>
      <c r="R52" s="48" t="s">
        <v>257</v>
      </c>
      <c r="S52" s="39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c r="AQ52" s="266"/>
    </row>
    <row r="53" spans="1:43" ht="34.950000000000003" customHeight="1" thickBot="1" x14ac:dyDescent="0.25">
      <c r="A53" s="12"/>
      <c r="B53" s="309"/>
      <c r="C53" s="444"/>
      <c r="D53" s="445"/>
      <c r="E53" s="447"/>
      <c r="F53" s="441"/>
      <c r="G53" s="369" t="s">
        <v>347</v>
      </c>
      <c r="H53" s="396"/>
      <c r="I53" s="432"/>
      <c r="J53" s="433"/>
      <c r="K53" s="433"/>
      <c r="L53" s="433"/>
      <c r="M53" s="433"/>
      <c r="N53" s="433"/>
      <c r="O53" s="433"/>
      <c r="P53" s="433"/>
      <c r="Q53" s="434"/>
      <c r="R53" s="387" t="s">
        <v>258</v>
      </c>
      <c r="S53" s="431"/>
      <c r="V53" s="1">
        <f>IF(I53="",0,1)</f>
        <v>0</v>
      </c>
      <c r="W53" s="55"/>
      <c r="Z53" s="20"/>
      <c r="AA53" s="50" t="s">
        <v>26</v>
      </c>
      <c r="AB53" s="51"/>
      <c r="AC53" s="52">
        <f>IF($I$53=AA53,1,0)</f>
        <v>0</v>
      </c>
      <c r="AD53" s="31">
        <v>1.5</v>
      </c>
      <c r="AE53" s="53">
        <f>AC53*AD53</f>
        <v>0</v>
      </c>
      <c r="AG53" s="54"/>
      <c r="AH53" s="54"/>
      <c r="AP53" s="56"/>
      <c r="AQ53" s="56"/>
    </row>
    <row r="54" spans="1:43" ht="34.950000000000003" customHeight="1" thickBot="1" x14ac:dyDescent="0.25">
      <c r="A54" s="12"/>
      <c r="B54" s="309"/>
      <c r="C54" s="444"/>
      <c r="D54" s="445"/>
      <c r="E54" s="447"/>
      <c r="F54" s="441"/>
      <c r="G54" s="301" t="s">
        <v>267</v>
      </c>
      <c r="H54" s="302"/>
      <c r="I54" s="410"/>
      <c r="J54" s="411"/>
      <c r="K54" s="380" t="s">
        <v>248</v>
      </c>
      <c r="L54" s="380"/>
      <c r="M54" s="412" t="s">
        <v>277</v>
      </c>
      <c r="N54" s="413"/>
      <c r="O54" s="413"/>
      <c r="P54" s="236" t="s">
        <v>199</v>
      </c>
      <c r="Q54" s="23" t="s">
        <v>278</v>
      </c>
      <c r="R54" s="388"/>
      <c r="S54" s="400"/>
      <c r="V54" s="1">
        <f>IF(I54="",0,1)</f>
        <v>0</v>
      </c>
      <c r="W54" s="57"/>
      <c r="AA54" s="50" t="s">
        <v>29</v>
      </c>
      <c r="AB54" s="51"/>
      <c r="AC54" s="52">
        <f>IF($I$53=AA54,1,0)</f>
        <v>0</v>
      </c>
      <c r="AD54" s="31">
        <v>0.5</v>
      </c>
      <c r="AE54" s="53">
        <f>AC54*AD54</f>
        <v>0</v>
      </c>
      <c r="AG54" s="54"/>
      <c r="AH54" s="54"/>
      <c r="AJ54" s="14" t="s">
        <v>306</v>
      </c>
      <c r="AK54" s="14" t="s">
        <v>307</v>
      </c>
    </row>
    <row r="55" spans="1:43" ht="34.950000000000003" customHeight="1" thickBot="1" x14ac:dyDescent="0.25">
      <c r="A55" s="12"/>
      <c r="B55" s="448"/>
      <c r="C55" s="459" t="s">
        <v>355</v>
      </c>
      <c r="D55" s="457"/>
      <c r="E55" s="352">
        <f>AD56</f>
        <v>1.5</v>
      </c>
      <c r="F55" s="356" t="str">
        <f>IF(Y55=0,"-",AP56)</f>
        <v>-</v>
      </c>
      <c r="G55" s="323" t="s">
        <v>339</v>
      </c>
      <c r="H55" s="421"/>
      <c r="I55" s="32" t="s">
        <v>249</v>
      </c>
      <c r="J55" s="196"/>
      <c r="K55" s="33" t="s">
        <v>251</v>
      </c>
      <c r="L55" s="414"/>
      <c r="M55" s="415"/>
      <c r="N55" s="33" t="s">
        <v>251</v>
      </c>
      <c r="O55" s="416"/>
      <c r="P55" s="415"/>
      <c r="Q55" s="58" t="s">
        <v>252</v>
      </c>
      <c r="R55" s="191" t="s">
        <v>350</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303</v>
      </c>
      <c r="AH55" s="60"/>
      <c r="AI55" s="52">
        <f>IF($S$56=AG55,1,0)</f>
        <v>0</v>
      </c>
      <c r="AJ55" s="1">
        <v>1.25</v>
      </c>
      <c r="AK55" s="31">
        <f>AI55*AJ55</f>
        <v>0</v>
      </c>
      <c r="AP55" s="149" t="s">
        <v>167</v>
      </c>
      <c r="AQ55" s="265"/>
    </row>
    <row r="56" spans="1:43" ht="34.950000000000003" customHeight="1" thickBot="1" x14ac:dyDescent="0.25">
      <c r="A56" s="12"/>
      <c r="B56" s="448"/>
      <c r="C56" s="366"/>
      <c r="D56" s="368"/>
      <c r="E56" s="354"/>
      <c r="F56" s="379"/>
      <c r="G56" s="460" t="s">
        <v>385</v>
      </c>
      <c r="H56" s="461"/>
      <c r="I56" s="391"/>
      <c r="J56" s="392"/>
      <c r="K56" s="392"/>
      <c r="L56" s="392"/>
      <c r="M56" s="392"/>
      <c r="N56" s="392"/>
      <c r="O56" s="393"/>
      <c r="P56" s="389" t="s">
        <v>348</v>
      </c>
      <c r="Q56" s="389"/>
      <c r="R56" s="390"/>
      <c r="S56" s="140" t="s">
        <v>168</v>
      </c>
      <c r="V56" s="1">
        <f>IF(AND(I56&lt;&gt;""),1,0)</f>
        <v>0</v>
      </c>
      <c r="W56" s="1">
        <f>IF(S56="-",0,1)</f>
        <v>0</v>
      </c>
      <c r="AA56" s="59" t="s">
        <v>305</v>
      </c>
      <c r="AB56" s="60"/>
      <c r="AC56" s="52">
        <f>IF($S$56=AA56,1,0)</f>
        <v>0</v>
      </c>
      <c r="AD56" s="1">
        <v>1.5</v>
      </c>
      <c r="AE56" s="31">
        <f>AC56*AD56</f>
        <v>0</v>
      </c>
      <c r="AG56" s="59" t="s">
        <v>135</v>
      </c>
      <c r="AH56" s="60"/>
      <c r="AI56" s="52">
        <f>IF($S$56=AG56,1,0)</f>
        <v>0</v>
      </c>
      <c r="AJ56" s="1">
        <v>1</v>
      </c>
      <c r="AK56" s="31">
        <f>AI56*AJ56</f>
        <v>0</v>
      </c>
      <c r="AP56" s="150">
        <f>IF(Y55=4,MAX(AE56,AK55,AK56),0)</f>
        <v>0</v>
      </c>
      <c r="AQ56" s="266"/>
    </row>
    <row r="57" spans="1:43" ht="19.95" customHeight="1" thickBot="1" x14ac:dyDescent="0.25">
      <c r="A57" s="12"/>
      <c r="B57" s="448"/>
      <c r="C57" s="321"/>
      <c r="D57" s="458"/>
      <c r="E57" s="353"/>
      <c r="F57" s="357"/>
      <c r="G57" s="426" t="s">
        <v>324</v>
      </c>
      <c r="H57" s="427"/>
      <c r="I57" s="427"/>
      <c r="J57" s="427"/>
      <c r="K57" s="427"/>
      <c r="L57" s="427"/>
      <c r="M57" s="427"/>
      <c r="N57" s="427"/>
      <c r="O57" s="427"/>
      <c r="P57" s="427"/>
      <c r="Q57" s="427"/>
      <c r="R57" s="427"/>
      <c r="S57" s="428"/>
      <c r="V57" s="1"/>
      <c r="AA57" s="61"/>
      <c r="AB57" s="62"/>
      <c r="AC57" s="63"/>
      <c r="AD57" s="1"/>
      <c r="AE57" s="64"/>
      <c r="AG57" s="61"/>
      <c r="AH57" s="62"/>
      <c r="AI57" s="63"/>
      <c r="AK57" s="64"/>
      <c r="AP57" s="150"/>
      <c r="AQ57" s="266"/>
    </row>
    <row r="58" spans="1:43" ht="34.950000000000003" customHeight="1" thickBot="1" x14ac:dyDescent="0.25">
      <c r="A58" s="12"/>
      <c r="B58" s="448"/>
      <c r="C58" s="323" t="s">
        <v>271</v>
      </c>
      <c r="D58" s="338"/>
      <c r="E58" s="65">
        <f>AD58</f>
        <v>0.25</v>
      </c>
      <c r="F58" s="66" t="str">
        <f t="shared" ref="F58:F60" si="0">AP58</f>
        <v>-</v>
      </c>
      <c r="G58" s="509" t="s">
        <v>404</v>
      </c>
      <c r="H58" s="510"/>
      <c r="I58" s="510"/>
      <c r="J58" s="510"/>
      <c r="K58" s="510"/>
      <c r="L58" s="510"/>
      <c r="M58" s="510"/>
      <c r="N58" s="510"/>
      <c r="O58" s="510"/>
      <c r="P58" s="510"/>
      <c r="Q58" s="510"/>
      <c r="R58" s="18" t="s">
        <v>349</v>
      </c>
      <c r="S58" s="141" t="s">
        <v>168</v>
      </c>
      <c r="V58" s="1">
        <f>IF(S58="有",1,0)</f>
        <v>0</v>
      </c>
      <c r="AD58" s="31">
        <v>0.25</v>
      </c>
      <c r="AE58" s="67"/>
      <c r="AG58" s="54"/>
      <c r="AH58" s="54"/>
      <c r="AP58" s="151" t="str">
        <f>IF(V58=1,AD58,"-")</f>
        <v>-</v>
      </c>
      <c r="AQ58" s="267"/>
    </row>
    <row r="59" spans="1:43" ht="34.950000000000003" customHeight="1" thickBot="1" x14ac:dyDescent="0.25">
      <c r="A59" s="12"/>
      <c r="B59" s="448"/>
      <c r="C59" s="323" t="s">
        <v>365</v>
      </c>
      <c r="D59" s="338"/>
      <c r="E59" s="65">
        <f t="shared" ref="E59:E61" si="1">AD59</f>
        <v>0.25</v>
      </c>
      <c r="F59" s="66" t="str">
        <f>IF('1.基本データ(このシートは削除しないこと！)'!H16=1,AP59,"-")</f>
        <v>-</v>
      </c>
      <c r="G59" s="509" t="s">
        <v>405</v>
      </c>
      <c r="H59" s="510"/>
      <c r="I59" s="510"/>
      <c r="J59" s="510"/>
      <c r="K59" s="510"/>
      <c r="L59" s="510"/>
      <c r="M59" s="510"/>
      <c r="N59" s="510"/>
      <c r="O59" s="510"/>
      <c r="P59" s="510"/>
      <c r="Q59" s="510"/>
      <c r="R59" s="18" t="s">
        <v>367</v>
      </c>
      <c r="S59" s="141" t="s">
        <v>168</v>
      </c>
      <c r="V59" s="1">
        <f>IF(S59="有",1,0)</f>
        <v>0</v>
      </c>
      <c r="AD59" s="31">
        <v>0.25</v>
      </c>
      <c r="AE59" s="31">
        <f>IF('1.基本データ(このシートは削除しないこと！)'!H16=1,1,0)</f>
        <v>0</v>
      </c>
      <c r="AF59">
        <f>AD59*AE59</f>
        <v>0</v>
      </c>
      <c r="AG59" s="54"/>
      <c r="AH59" s="54"/>
      <c r="AP59" s="151" t="str">
        <f>IF(V59=1,AF59,"-")</f>
        <v>-</v>
      </c>
      <c r="AQ59" s="267"/>
    </row>
    <row r="60" spans="1:43" ht="34.950000000000003" customHeight="1" thickBot="1" x14ac:dyDescent="0.25">
      <c r="A60" s="12"/>
      <c r="B60" s="448"/>
      <c r="C60" s="371" t="s">
        <v>272</v>
      </c>
      <c r="D60" s="435"/>
      <c r="E60" s="65">
        <f t="shared" si="1"/>
        <v>0.25</v>
      </c>
      <c r="F60" s="66" t="str">
        <f t="shared" si="0"/>
        <v>-</v>
      </c>
      <c r="G60" s="429" t="s">
        <v>259</v>
      </c>
      <c r="H60" s="430"/>
      <c r="I60" s="430"/>
      <c r="J60" s="430"/>
      <c r="K60" s="430"/>
      <c r="L60" s="430"/>
      <c r="M60" s="430"/>
      <c r="N60" s="430"/>
      <c r="O60" s="430"/>
      <c r="P60" s="430"/>
      <c r="Q60" s="430"/>
      <c r="R60" s="18" t="s">
        <v>349</v>
      </c>
      <c r="S60" s="142" t="s">
        <v>168</v>
      </c>
      <c r="V60" s="1">
        <f>IF(S60="有",1,0)</f>
        <v>0</v>
      </c>
      <c r="AD60" s="31">
        <v>0.25</v>
      </c>
      <c r="AE60" s="67"/>
      <c r="AG60" s="54"/>
      <c r="AH60" s="54"/>
      <c r="AP60" s="151" t="str">
        <f t="shared" ref="AP60" si="2">IF(V60=1,AD60,"-")</f>
        <v>-</v>
      </c>
      <c r="AQ60" s="267"/>
    </row>
    <row r="61" spans="1:43" ht="34.950000000000003" customHeight="1" thickBot="1" x14ac:dyDescent="0.25">
      <c r="A61" s="12"/>
      <c r="B61" s="448"/>
      <c r="C61" s="323" t="s">
        <v>366</v>
      </c>
      <c r="D61" s="338"/>
      <c r="E61" s="65">
        <f t="shared" si="1"/>
        <v>0.25</v>
      </c>
      <c r="F61" s="66" t="str">
        <f>IF('1.基本データ(このシートは削除しないこと！)'!H16=1,AP61,"-")</f>
        <v>-</v>
      </c>
      <c r="G61" s="394" t="s">
        <v>368</v>
      </c>
      <c r="H61" s="395"/>
      <c r="I61" s="395"/>
      <c r="J61" s="395"/>
      <c r="K61" s="395"/>
      <c r="L61" s="395"/>
      <c r="M61" s="395"/>
      <c r="N61" s="395"/>
      <c r="O61" s="395"/>
      <c r="P61" s="395"/>
      <c r="Q61" s="395"/>
      <c r="R61" s="18" t="s">
        <v>367</v>
      </c>
      <c r="S61" s="141" t="s">
        <v>168</v>
      </c>
      <c r="V61" s="1">
        <f>IF(S61="有",1,0)</f>
        <v>0</v>
      </c>
      <c r="AD61" s="31">
        <v>0.25</v>
      </c>
      <c r="AE61" s="31">
        <f>IF('1.基本データ(このシートは削除しないこと！)'!H16=1,1,0)</f>
        <v>0</v>
      </c>
      <c r="AF61">
        <f>AD61*AE61</f>
        <v>0</v>
      </c>
      <c r="AG61" s="54"/>
      <c r="AH61" s="54"/>
      <c r="AP61" s="151" t="str">
        <f>IF(V61=1,AF61,"-")</f>
        <v>-</v>
      </c>
      <c r="AQ61" s="267"/>
    </row>
    <row r="62" spans="1:43" ht="34.950000000000003" customHeight="1" thickBot="1" x14ac:dyDescent="0.25">
      <c r="A62" s="12"/>
      <c r="B62" s="309"/>
      <c r="C62" s="454" t="s">
        <v>0</v>
      </c>
      <c r="D62" s="455"/>
      <c r="E62" s="190"/>
      <c r="F62" s="190"/>
      <c r="G62" s="303" t="s">
        <v>378</v>
      </c>
      <c r="H62" s="304"/>
      <c r="I62" s="407"/>
      <c r="J62" s="408"/>
      <c r="K62" s="408"/>
      <c r="L62" s="408"/>
      <c r="M62" s="408"/>
      <c r="N62" s="408"/>
      <c r="O62" s="408"/>
      <c r="P62" s="408"/>
      <c r="Q62" s="409"/>
      <c r="R62" s="449" t="s">
        <v>377</v>
      </c>
      <c r="S62" s="450"/>
      <c r="V62" s="19">
        <f>IF(I62="",0,1)</f>
        <v>0</v>
      </c>
      <c r="W62" t="s">
        <v>221</v>
      </c>
      <c r="AD62" s="47" t="s">
        <v>164</v>
      </c>
      <c r="AE62" s="47" t="s">
        <v>147</v>
      </c>
      <c r="AP62" s="149" t="s">
        <v>167</v>
      </c>
      <c r="AQ62" s="265"/>
    </row>
    <row r="63" spans="1:43" ht="34.950000000000003" customHeight="1" thickBot="1" x14ac:dyDescent="0.25">
      <c r="A63" s="12"/>
      <c r="B63" s="309"/>
      <c r="C63" s="456" t="s">
        <v>379</v>
      </c>
      <c r="D63" s="457"/>
      <c r="E63" s="453">
        <f>AD63</f>
        <v>0.5</v>
      </c>
      <c r="F63" s="441" t="str">
        <f>IF(Y63=0,"-",AP63)</f>
        <v>-</v>
      </c>
      <c r="G63" s="382" t="s">
        <v>138</v>
      </c>
      <c r="H63" s="420"/>
      <c r="I63" s="423"/>
      <c r="J63" s="424"/>
      <c r="K63" s="424"/>
      <c r="L63" s="424"/>
      <c r="M63" s="424"/>
      <c r="N63" s="424"/>
      <c r="O63" s="424"/>
      <c r="P63" s="424"/>
      <c r="Q63" s="425"/>
      <c r="R63" s="48" t="s">
        <v>257</v>
      </c>
      <c r="S63" s="399"/>
      <c r="V63" s="68">
        <f>IF(I63="",0,1)</f>
        <v>0</v>
      </c>
      <c r="W63" s="1">
        <f>IF(S63="",0,1)</f>
        <v>0</v>
      </c>
      <c r="X63" s="49"/>
      <c r="Y63" s="19">
        <f>SUM(V63:W66)</f>
        <v>0</v>
      </c>
      <c r="Z63" s="20" t="s">
        <v>239</v>
      </c>
      <c r="AB63" s="69"/>
      <c r="AC63" s="69"/>
      <c r="AD63" s="31">
        <v>0.5</v>
      </c>
      <c r="AE63" s="22">
        <f>IF(Y63=5,AD63*V$62,0)</f>
        <v>0</v>
      </c>
      <c r="AG63" s="69"/>
      <c r="AH63" s="69"/>
      <c r="AP63" s="152">
        <f>IF(Y63=5,AE63,0)</f>
        <v>0</v>
      </c>
      <c r="AQ63" s="268"/>
    </row>
    <row r="64" spans="1:43" ht="34.950000000000003" customHeight="1" thickBot="1" x14ac:dyDescent="0.25">
      <c r="A64" s="12"/>
      <c r="B64" s="309"/>
      <c r="C64" s="367"/>
      <c r="D64" s="368"/>
      <c r="E64" s="453"/>
      <c r="F64" s="441"/>
      <c r="G64" s="303" t="s">
        <v>386</v>
      </c>
      <c r="H64" s="304"/>
      <c r="I64" s="305"/>
      <c r="J64" s="306"/>
      <c r="K64" s="306"/>
      <c r="L64" s="306"/>
      <c r="M64" s="15" t="s">
        <v>253</v>
      </c>
      <c r="N64" s="306"/>
      <c r="O64" s="306"/>
      <c r="P64" s="306"/>
      <c r="Q64" s="307"/>
      <c r="R64" s="387" t="s">
        <v>258</v>
      </c>
      <c r="S64" s="431"/>
      <c r="V64" s="1">
        <f>IF(AND(I64&lt;&gt;"",N64&lt;&gt;""),1,0)</f>
        <v>0</v>
      </c>
      <c r="W64" s="55"/>
      <c r="AB64" s="69"/>
      <c r="AC64" s="69"/>
      <c r="AE64" s="69"/>
      <c r="AG64" s="69"/>
      <c r="AH64" s="69"/>
    </row>
    <row r="65" spans="1:51" ht="34.950000000000003" customHeight="1" thickBot="1" x14ac:dyDescent="0.25">
      <c r="A65" s="12"/>
      <c r="B65" s="309"/>
      <c r="C65" s="367"/>
      <c r="D65" s="368"/>
      <c r="E65" s="453"/>
      <c r="F65" s="441"/>
      <c r="G65" s="303" t="s">
        <v>387</v>
      </c>
      <c r="H65" s="304"/>
      <c r="I65" s="305"/>
      <c r="J65" s="306"/>
      <c r="K65" s="306"/>
      <c r="L65" s="306"/>
      <c r="M65" s="15" t="s">
        <v>247</v>
      </c>
      <c r="N65" s="306"/>
      <c r="O65" s="306"/>
      <c r="P65" s="306"/>
      <c r="Q65" s="307"/>
      <c r="R65" s="387"/>
      <c r="S65" s="431"/>
      <c r="V65" s="1">
        <f>IF(AND(I65&lt;&gt;"",N65&lt;&gt;""),1,0)</f>
        <v>0</v>
      </c>
      <c r="W65" s="70"/>
      <c r="AB65" s="69"/>
      <c r="AC65" s="69"/>
      <c r="AE65" s="69"/>
      <c r="AG65" s="69"/>
      <c r="AH65" s="69"/>
    </row>
    <row r="66" spans="1:51" ht="34.950000000000003" customHeight="1" thickBot="1" x14ac:dyDescent="0.25">
      <c r="A66" s="12"/>
      <c r="B66" s="309"/>
      <c r="C66" s="322"/>
      <c r="D66" s="458"/>
      <c r="E66" s="453"/>
      <c r="F66" s="441"/>
      <c r="G66" s="301" t="s">
        <v>211</v>
      </c>
      <c r="H66" s="302"/>
      <c r="I66" s="410"/>
      <c r="J66" s="411"/>
      <c r="K66" s="380" t="s">
        <v>248</v>
      </c>
      <c r="L66" s="380"/>
      <c r="M66" s="412" t="s">
        <v>277</v>
      </c>
      <c r="N66" s="413"/>
      <c r="O66" s="413"/>
      <c r="P66" s="195" t="s">
        <v>364</v>
      </c>
      <c r="Q66" s="23" t="s">
        <v>278</v>
      </c>
      <c r="R66" s="388"/>
      <c r="S66" s="400"/>
      <c r="V66" s="1">
        <f>IF(I66="",0,1)</f>
        <v>0</v>
      </c>
      <c r="W66" s="57"/>
      <c r="AB66" s="69"/>
      <c r="AC66" s="69"/>
      <c r="AD66" s="47" t="s">
        <v>164</v>
      </c>
      <c r="AE66" s="47" t="s">
        <v>147</v>
      </c>
      <c r="AG66" s="69"/>
      <c r="AH66" s="69"/>
      <c r="AP66" s="149" t="s">
        <v>167</v>
      </c>
      <c r="AQ66" s="265"/>
    </row>
    <row r="67" spans="1:51" ht="34.950000000000003" customHeight="1" thickBot="1" x14ac:dyDescent="0.25">
      <c r="A67" s="12"/>
      <c r="B67" s="309"/>
      <c r="C67" s="443" t="s">
        <v>380</v>
      </c>
      <c r="D67" s="342"/>
      <c r="E67" s="451">
        <f>AD67</f>
        <v>0.75</v>
      </c>
      <c r="F67" s="452" t="str">
        <f>IF(Y67=0,"-",AP67)</f>
        <v>-</v>
      </c>
      <c r="G67" s="303" t="s">
        <v>260</v>
      </c>
      <c r="H67" s="304"/>
      <c r="I67" s="16" t="s">
        <v>249</v>
      </c>
      <c r="J67" s="196"/>
      <c r="K67" s="17" t="s">
        <v>250</v>
      </c>
      <c r="L67" s="414"/>
      <c r="M67" s="415"/>
      <c r="N67" s="17" t="s">
        <v>254</v>
      </c>
      <c r="O67" s="416"/>
      <c r="P67" s="415"/>
      <c r="Q67" s="71" t="s">
        <v>252</v>
      </c>
      <c r="R67" s="397" t="s">
        <v>398</v>
      </c>
      <c r="S67" s="399"/>
      <c r="V67" s="1">
        <f>IF(AND(J67&lt;&gt;"",L67&lt;&gt;"",O67&lt;&gt;""),1,0)</f>
        <v>0</v>
      </c>
      <c r="W67" s="1">
        <f>IF(S67="",0,1)</f>
        <v>0</v>
      </c>
      <c r="X67" s="49"/>
      <c r="Y67" s="19">
        <f>SUM(V67:W69)</f>
        <v>0</v>
      </c>
      <c r="Z67" s="20" t="s">
        <v>239</v>
      </c>
      <c r="AB67" s="263" t="s">
        <v>304</v>
      </c>
      <c r="AC67" s="47">
        <f>IF(S69=AB67,1,0)</f>
        <v>0</v>
      </c>
      <c r="AD67" s="31">
        <v>0.75</v>
      </c>
      <c r="AE67" s="22">
        <f>IF(Y67=5,AD67*V$62*AC67,0)</f>
        <v>0</v>
      </c>
      <c r="AG67" s="69"/>
      <c r="AH67" s="69"/>
      <c r="AP67" s="152">
        <f>IF(Y67=5,MAX(AE67:AE68),0)</f>
        <v>0</v>
      </c>
      <c r="AQ67" s="268"/>
    </row>
    <row r="68" spans="1:51" ht="34.950000000000003" customHeight="1" thickBot="1" x14ac:dyDescent="0.25">
      <c r="A68" s="12"/>
      <c r="B68" s="309"/>
      <c r="C68" s="444"/>
      <c r="D68" s="445"/>
      <c r="E68" s="451"/>
      <c r="F68" s="452"/>
      <c r="G68" s="323" t="s">
        <v>314</v>
      </c>
      <c r="H68" s="421"/>
      <c r="I68" s="391"/>
      <c r="J68" s="392"/>
      <c r="K68" s="392"/>
      <c r="L68" s="392"/>
      <c r="M68" s="33" t="s">
        <v>255</v>
      </c>
      <c r="N68" s="392"/>
      <c r="O68" s="392"/>
      <c r="P68" s="392"/>
      <c r="Q68" s="393"/>
      <c r="R68" s="398"/>
      <c r="S68" s="400"/>
      <c r="V68" s="1">
        <f>IF(AND(I68&lt;&gt;"",N68&lt;&gt;""),1,0)</f>
        <v>0</v>
      </c>
      <c r="W68" s="1">
        <f>IF(S69="-",0,1)</f>
        <v>0</v>
      </c>
      <c r="AB68" s="263" t="s">
        <v>303</v>
      </c>
      <c r="AC68" s="47">
        <f>IF(S69=AB68,1,0)</f>
        <v>0</v>
      </c>
      <c r="AD68" s="31">
        <v>0.5</v>
      </c>
      <c r="AE68" s="22">
        <f>IF(Y67=5,AD68*V$62*AC68,0)</f>
        <v>0</v>
      </c>
      <c r="AG68" s="69"/>
      <c r="AH68" s="69"/>
    </row>
    <row r="69" spans="1:51" ht="34.950000000000003" customHeight="1" thickBot="1" x14ac:dyDescent="0.25">
      <c r="A69" s="12"/>
      <c r="B69" s="310"/>
      <c r="C69" s="454"/>
      <c r="D69" s="455"/>
      <c r="E69" s="451"/>
      <c r="F69" s="452"/>
      <c r="G69" s="303" t="s">
        <v>308</v>
      </c>
      <c r="H69" s="304"/>
      <c r="I69" s="391"/>
      <c r="J69" s="392"/>
      <c r="K69" s="392"/>
      <c r="L69" s="392"/>
      <c r="M69" s="33" t="s">
        <v>256</v>
      </c>
      <c r="N69" s="392"/>
      <c r="O69" s="392"/>
      <c r="P69" s="392"/>
      <c r="Q69" s="393"/>
      <c r="R69" s="262" t="s">
        <v>399</v>
      </c>
      <c r="S69" s="261" t="s">
        <v>168</v>
      </c>
      <c r="V69" s="1">
        <f>IF(AND(I69&lt;&gt;"",N69&lt;&gt;""),1,0)</f>
        <v>0</v>
      </c>
      <c r="W69" s="70"/>
      <c r="AB69" s="69"/>
      <c r="AC69" s="69"/>
      <c r="AE69" s="69"/>
      <c r="AG69" s="69"/>
      <c r="AH69" s="69"/>
    </row>
    <row r="70" spans="1:51" ht="19.95" customHeight="1" x14ac:dyDescent="0.2">
      <c r="A70" s="12"/>
      <c r="B70" s="422" t="s">
        <v>326</v>
      </c>
      <c r="C70" s="422"/>
      <c r="D70" s="422"/>
      <c r="E70" s="422"/>
      <c r="F70" s="422"/>
      <c r="G70" s="422"/>
      <c r="H70" s="422"/>
      <c r="I70" s="422"/>
      <c r="J70" s="422"/>
      <c r="K70" s="422"/>
      <c r="L70" s="422"/>
      <c r="M70" s="422"/>
      <c r="N70" s="422"/>
      <c r="O70" s="422"/>
      <c r="P70" s="422"/>
      <c r="Q70" s="422"/>
      <c r="R70" s="422"/>
      <c r="S70" s="422"/>
    </row>
    <row r="71" spans="1:51" s="230" customFormat="1" ht="16.95" customHeight="1" x14ac:dyDescent="0.2">
      <c r="A71" s="229"/>
      <c r="B71" s="339" t="s">
        <v>327</v>
      </c>
      <c r="C71" s="339"/>
      <c r="D71" s="339"/>
      <c r="E71" s="339"/>
      <c r="F71" s="339"/>
      <c r="G71" s="339"/>
      <c r="H71" s="339"/>
      <c r="I71" s="339"/>
      <c r="J71" s="339"/>
      <c r="K71" s="339"/>
      <c r="L71" s="339"/>
      <c r="M71" s="339"/>
      <c r="N71" s="339"/>
      <c r="O71" s="339"/>
      <c r="P71" s="339"/>
      <c r="Q71" s="339"/>
      <c r="R71" s="339"/>
      <c r="S71" s="339"/>
      <c r="AG71" s="229"/>
    </row>
    <row r="72" spans="1:51" s="230" customFormat="1" ht="16.95" customHeight="1" x14ac:dyDescent="0.2">
      <c r="A72" s="229"/>
      <c r="B72" s="339" t="s">
        <v>328</v>
      </c>
      <c r="C72" s="339"/>
      <c r="D72" s="339"/>
      <c r="E72" s="339"/>
      <c r="F72" s="339"/>
      <c r="G72" s="339"/>
      <c r="H72" s="339"/>
      <c r="I72" s="339"/>
      <c r="J72" s="339"/>
      <c r="K72" s="339"/>
      <c r="L72" s="339"/>
      <c r="M72" s="339"/>
      <c r="N72" s="339"/>
      <c r="O72" s="339"/>
      <c r="P72" s="339"/>
      <c r="Q72" s="339"/>
      <c r="R72" s="339"/>
      <c r="S72" s="339"/>
      <c r="AG72" s="229"/>
      <c r="AH72" s="229"/>
      <c r="AI72" s="229"/>
      <c r="AJ72" s="229"/>
      <c r="AK72" s="229"/>
    </row>
    <row r="73" spans="1:51" s="230" customFormat="1" ht="16.95" customHeight="1" x14ac:dyDescent="0.2">
      <c r="A73" s="229"/>
      <c r="B73" s="339" t="s">
        <v>389</v>
      </c>
      <c r="C73" s="339"/>
      <c r="D73" s="339"/>
      <c r="E73" s="339"/>
      <c r="F73" s="339"/>
      <c r="G73" s="339"/>
      <c r="H73" s="339"/>
      <c r="I73" s="339"/>
      <c r="J73" s="339"/>
      <c r="K73" s="339"/>
      <c r="L73" s="339"/>
      <c r="M73" s="339"/>
      <c r="N73" s="339"/>
      <c r="O73" s="339"/>
      <c r="P73" s="339"/>
      <c r="Q73" s="339"/>
      <c r="R73" s="339"/>
      <c r="S73" s="339"/>
      <c r="AG73" s="229"/>
      <c r="AH73" s="229"/>
      <c r="AI73" s="229"/>
      <c r="AJ73" s="229"/>
      <c r="AK73" s="229"/>
    </row>
    <row r="74" spans="1:51" s="230" customFormat="1" ht="24" customHeight="1" x14ac:dyDescent="0.2">
      <c r="A74" s="229"/>
      <c r="B74" s="339" t="s">
        <v>363</v>
      </c>
      <c r="C74" s="339"/>
      <c r="D74" s="339"/>
      <c r="E74" s="339"/>
      <c r="F74" s="339"/>
      <c r="G74" s="339"/>
      <c r="H74" s="339"/>
      <c r="I74" s="339"/>
      <c r="J74" s="339"/>
      <c r="K74" s="339"/>
      <c r="L74" s="339"/>
      <c r="M74" s="339"/>
      <c r="N74" s="339"/>
      <c r="O74" s="339"/>
      <c r="P74" s="339"/>
      <c r="Q74" s="339"/>
      <c r="R74" s="339"/>
      <c r="S74" s="339"/>
      <c r="AC74" s="231"/>
      <c r="AE74" s="232"/>
      <c r="AF74" s="233"/>
      <c r="AG74" s="234"/>
      <c r="AH74" s="229"/>
      <c r="AM74" s="235"/>
    </row>
    <row r="75" spans="1:51" ht="14.25" customHeight="1" x14ac:dyDescent="0.2">
      <c r="A75" s="12"/>
      <c r="B75" s="72" t="s">
        <v>246</v>
      </c>
      <c r="C75" s="38"/>
      <c r="D75" s="38"/>
      <c r="E75" s="38"/>
      <c r="F75" s="38"/>
      <c r="G75" s="38"/>
      <c r="H75" s="38"/>
      <c r="I75" s="38"/>
      <c r="J75" s="38"/>
      <c r="K75" s="38"/>
      <c r="L75" s="38"/>
      <c r="M75" s="38"/>
      <c r="N75" s="38"/>
      <c r="O75" s="38"/>
      <c r="P75" s="38"/>
      <c r="Q75" s="38"/>
      <c r="S75" s="39" t="s">
        <v>238</v>
      </c>
      <c r="AM75" s="14" t="s">
        <v>164</v>
      </c>
      <c r="AN75" s="12"/>
      <c r="AO75" s="12"/>
      <c r="AP75" s="12"/>
      <c r="AQ75" s="12"/>
    </row>
    <row r="76" spans="1:51" ht="16.5" customHeight="1" thickBot="1" x14ac:dyDescent="0.25">
      <c r="A76" s="12"/>
      <c r="B76" s="438" t="s">
        <v>139</v>
      </c>
      <c r="C76" s="438"/>
      <c r="D76" s="438"/>
      <c r="E76" s="439" t="str">
        <f>E49</f>
        <v>第○○-○○○○○-○○○○号 ○○○○○○○○○○○○工事</v>
      </c>
      <c r="F76" s="439"/>
      <c r="G76" s="439"/>
      <c r="H76" s="439"/>
      <c r="I76" s="439"/>
      <c r="J76" s="439"/>
      <c r="K76" s="439"/>
      <c r="L76" s="439"/>
      <c r="M76" s="439"/>
      <c r="N76" s="439"/>
      <c r="O76" s="439"/>
      <c r="P76" s="439"/>
      <c r="Q76" s="439"/>
      <c r="R76" s="439"/>
      <c r="AE76" s="64"/>
      <c r="AF76" s="67"/>
      <c r="AJ76" s="1">
        <v>0</v>
      </c>
      <c r="AK76" s="96"/>
      <c r="AL76" s="96"/>
      <c r="AM76" s="21">
        <v>0</v>
      </c>
    </row>
    <row r="77" spans="1:51"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332</v>
      </c>
      <c r="Z77" s="14" t="s">
        <v>275</v>
      </c>
      <c r="AA77" s="1"/>
      <c r="AB77" s="14" t="s">
        <v>276</v>
      </c>
      <c r="AE77" s="73"/>
      <c r="AF77" s="74"/>
      <c r="AG77" s="73"/>
      <c r="AJ77" s="1">
        <v>42</v>
      </c>
      <c r="AK77" s="1" t="s">
        <v>144</v>
      </c>
      <c r="AL77" s="1" t="s">
        <v>170</v>
      </c>
      <c r="AM77" s="21">
        <v>5</v>
      </c>
      <c r="AP77" s="149" t="s">
        <v>167</v>
      </c>
      <c r="AQ77" s="265"/>
    </row>
    <row r="78" spans="1:51" ht="22.5" customHeight="1" thickBot="1" x14ac:dyDescent="0.25">
      <c r="A78" s="12"/>
      <c r="B78" s="440" t="s">
        <v>345</v>
      </c>
      <c r="C78" s="440"/>
      <c r="D78" s="440"/>
      <c r="E78" s="43" t="s">
        <v>169</v>
      </c>
      <c r="F78" s="44" t="s">
        <v>1</v>
      </c>
      <c r="G78" s="358" t="s">
        <v>325</v>
      </c>
      <c r="H78" s="359"/>
      <c r="I78" s="359"/>
      <c r="J78" s="359"/>
      <c r="K78" s="359"/>
      <c r="L78" s="359"/>
      <c r="M78" s="359"/>
      <c r="N78" s="359"/>
      <c r="O78" s="359"/>
      <c r="P78" s="359"/>
      <c r="Q78" s="359"/>
      <c r="R78" s="359"/>
      <c r="S78" s="360"/>
      <c r="V78" s="1">
        <f>IF(OR(R79=リスト!O4),1,0)</f>
        <v>0</v>
      </c>
      <c r="W78" s="50">
        <f>V77</f>
        <v>0</v>
      </c>
      <c r="X78" s="19">
        <f>SUM(V78:W78)</f>
        <v>0</v>
      </c>
      <c r="Y78" s="20" t="s">
        <v>274</v>
      </c>
      <c r="Z78" s="21">
        <v>0.5</v>
      </c>
      <c r="AA78" s="1">
        <f>Z78*V78</f>
        <v>0</v>
      </c>
      <c r="AB78" s="182"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Q78" s="269"/>
      <c r="AY78" s="12"/>
    </row>
    <row r="79" spans="1:51" ht="34.950000000000003" customHeight="1" thickBot="1" x14ac:dyDescent="0.25">
      <c r="A79" s="12"/>
      <c r="B79" s="308" t="s">
        <v>190</v>
      </c>
      <c r="C79" s="323" t="s">
        <v>261</v>
      </c>
      <c r="D79" s="338"/>
      <c r="E79" s="34">
        <f>Z78</f>
        <v>0.5</v>
      </c>
      <c r="F79" s="66" t="str">
        <f>AR81</f>
        <v>-</v>
      </c>
      <c r="G79" s="371" t="s">
        <v>393</v>
      </c>
      <c r="H79" s="372"/>
      <c r="I79" s="476" t="s">
        <v>340</v>
      </c>
      <c r="J79" s="477"/>
      <c r="K79" s="361"/>
      <c r="L79" s="362"/>
      <c r="M79" s="362"/>
      <c r="N79" s="362"/>
      <c r="O79" s="362"/>
      <c r="P79" s="362"/>
      <c r="Q79" s="363"/>
      <c r="R79" s="364" t="s">
        <v>168</v>
      </c>
      <c r="S79" s="365"/>
      <c r="V79" s="1">
        <f>IF(OR(R79=リスト!O5),1,0)</f>
        <v>0</v>
      </c>
      <c r="W79" s="50">
        <f>V77</f>
        <v>0</v>
      </c>
      <c r="X79" s="19">
        <f>SUM(V79:W79)</f>
        <v>0</v>
      </c>
      <c r="Y79" s="20" t="s">
        <v>274</v>
      </c>
      <c r="Z79" s="1">
        <v>0.25</v>
      </c>
      <c r="AA79" s="1">
        <f>Z79*V79</f>
        <v>0</v>
      </c>
      <c r="AB79" s="182" t="str">
        <f>IF(V77=1,MAX(AA78:AA79),"-")</f>
        <v>-</v>
      </c>
      <c r="AC79" s="79" t="s">
        <v>207</v>
      </c>
      <c r="AE79" s="80">
        <v>0.5</v>
      </c>
      <c r="AF79" s="81">
        <f>W80*AE79</f>
        <v>0</v>
      </c>
      <c r="AG79" s="82">
        <f>IF('1.基本データ(このシートは削除しないこと！)'!H16=10,AF79,"-")</f>
        <v>0</v>
      </c>
      <c r="AJ79" s="1">
        <v>40</v>
      </c>
      <c r="AK79" s="1" t="s">
        <v>144</v>
      </c>
      <c r="AL79" s="1" t="s">
        <v>3</v>
      </c>
      <c r="AM79" s="21">
        <v>3</v>
      </c>
      <c r="AP79" s="153"/>
      <c r="AQ79" s="269"/>
      <c r="AY79" s="12"/>
    </row>
    <row r="80" spans="1:51" ht="34.950000000000003" customHeight="1" thickBot="1" x14ac:dyDescent="0.25">
      <c r="A80" s="12"/>
      <c r="B80" s="309"/>
      <c r="C80" s="419" t="s">
        <v>329</v>
      </c>
      <c r="D80" s="340"/>
      <c r="E80" s="110">
        <f>AE78</f>
        <v>1</v>
      </c>
      <c r="F80" s="161" t="str">
        <f>AR82</f>
        <v>-</v>
      </c>
      <c r="G80" s="369" t="s">
        <v>384</v>
      </c>
      <c r="H80" s="370"/>
      <c r="I80" s="479" t="s">
        <v>341</v>
      </c>
      <c r="J80" s="479"/>
      <c r="K80" s="335" t="s">
        <v>168</v>
      </c>
      <c r="L80" s="336"/>
      <c r="M80" s="336"/>
      <c r="N80" s="336"/>
      <c r="O80" s="336"/>
      <c r="P80" s="336"/>
      <c r="Q80" s="336"/>
      <c r="R80" s="336"/>
      <c r="S80" s="337"/>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R80" s="149" t="s">
        <v>167</v>
      </c>
      <c r="AT80" s="12" t="s">
        <v>193</v>
      </c>
      <c r="AU80" s="134"/>
      <c r="AY80" s="12"/>
    </row>
    <row r="81" spans="1:61" ht="32.1" customHeight="1" thickBot="1" x14ac:dyDescent="0.25">
      <c r="A81" s="12"/>
      <c r="B81" s="309"/>
      <c r="C81" s="342" t="s">
        <v>273</v>
      </c>
      <c r="D81" s="491"/>
      <c r="E81" s="446">
        <f>AM77</f>
        <v>5</v>
      </c>
      <c r="F81" s="495" t="str">
        <f>IF(OR(K82="-",K83="-"),"-",AR88)</f>
        <v>-</v>
      </c>
      <c r="G81" s="366" t="s">
        <v>213</v>
      </c>
      <c r="H81" s="367"/>
      <c r="I81" s="367"/>
      <c r="J81" s="367"/>
      <c r="K81" s="367"/>
      <c r="L81" s="367"/>
      <c r="M81" s="367"/>
      <c r="N81" s="367"/>
      <c r="O81" s="367"/>
      <c r="P81" s="367"/>
      <c r="Q81" s="368"/>
      <c r="R81" s="383" t="s">
        <v>394</v>
      </c>
      <c r="S81" s="384"/>
      <c r="Z81" s="144" t="s">
        <v>227</v>
      </c>
      <c r="AA81" s="145"/>
      <c r="AB81" s="145"/>
      <c r="AC81" s="145"/>
      <c r="AE81" s="144" t="s">
        <v>148</v>
      </c>
      <c r="AF81" s="145"/>
      <c r="AG81" s="145"/>
      <c r="AJ81" s="1">
        <v>31</v>
      </c>
      <c r="AK81" s="1" t="s">
        <v>145</v>
      </c>
      <c r="AL81" s="1" t="s">
        <v>25</v>
      </c>
      <c r="AM81" s="21">
        <v>2</v>
      </c>
      <c r="AO81" s="83" t="s">
        <v>201</v>
      </c>
      <c r="AR81" s="183" t="str">
        <f>IF(V77=1,MAX(AB78:AB79),"-")</f>
        <v>-</v>
      </c>
      <c r="AT81" s="14" t="s">
        <v>216</v>
      </c>
      <c r="AU81" s="133" t="s">
        <v>148</v>
      </c>
      <c r="AY81" s="12"/>
    </row>
    <row r="82" spans="1:61" ht="32.1" customHeight="1" thickBot="1" x14ac:dyDescent="0.25">
      <c r="A82" s="12"/>
      <c r="B82" s="309"/>
      <c r="C82" s="445"/>
      <c r="D82" s="492"/>
      <c r="E82" s="447"/>
      <c r="F82" s="496"/>
      <c r="G82" s="325" t="s">
        <v>262</v>
      </c>
      <c r="H82" s="323"/>
      <c r="I82" s="479" t="s">
        <v>341</v>
      </c>
      <c r="J82" s="479"/>
      <c r="K82" s="485" t="s">
        <v>168</v>
      </c>
      <c r="L82" s="486"/>
      <c r="M82" s="486"/>
      <c r="N82" s="486"/>
      <c r="O82" s="486"/>
      <c r="P82" s="486"/>
      <c r="Q82" s="487"/>
      <c r="R82" s="383"/>
      <c r="S82" s="384"/>
      <c r="T82" s="87"/>
      <c r="U82" s="87"/>
      <c r="V82" s="7" t="s">
        <v>209</v>
      </c>
      <c r="W82" s="88" t="str">
        <f>VLOOKUP(K82,リスト2!$C$3:$E$65,2,FALSE)</f>
        <v>-</v>
      </c>
      <c r="X82" s="89"/>
      <c r="Z82" s="90" t="s">
        <v>149</v>
      </c>
      <c r="AA82" s="91" t="s">
        <v>309</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R82" s="153" t="str">
        <f>IF(Y80=1,MAX(AG78:AG80),"-")</f>
        <v>-</v>
      </c>
      <c r="AT82" s="11">
        <f>IF($W84="同一市町村",1,10)</f>
        <v>10</v>
      </c>
      <c r="AU82" s="11">
        <f>IF($W87="同一市町村",1,10)</f>
        <v>10</v>
      </c>
    </row>
    <row r="83" spans="1:61" ht="32.1" customHeight="1" thickBot="1" x14ac:dyDescent="0.25">
      <c r="A83" s="12"/>
      <c r="B83" s="309"/>
      <c r="C83" s="445"/>
      <c r="D83" s="492"/>
      <c r="E83" s="447"/>
      <c r="F83" s="496"/>
      <c r="G83" s="381" t="s">
        <v>263</v>
      </c>
      <c r="H83" s="382"/>
      <c r="I83" s="479" t="s">
        <v>341</v>
      </c>
      <c r="J83" s="479"/>
      <c r="K83" s="364" t="s">
        <v>168</v>
      </c>
      <c r="L83" s="478"/>
      <c r="M83" s="478"/>
      <c r="N83" s="478"/>
      <c r="O83" s="478"/>
      <c r="P83" s="478"/>
      <c r="Q83" s="365"/>
      <c r="R83" s="383"/>
      <c r="S83" s="384"/>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T83" s="11">
        <f>IF($W84="同一土木",2,10)</f>
        <v>10</v>
      </c>
      <c r="AU83" s="86">
        <f>IF($W87="同一土木",2,10)</f>
        <v>10</v>
      </c>
      <c r="AV83" s="27"/>
      <c r="AW83" s="12"/>
    </row>
    <row r="84" spans="1:61" ht="32.1" customHeight="1" thickBot="1" x14ac:dyDescent="0.25">
      <c r="A84" s="12"/>
      <c r="B84" s="309"/>
      <c r="C84" s="445"/>
      <c r="D84" s="492"/>
      <c r="E84" s="447"/>
      <c r="F84" s="496"/>
      <c r="G84" s="366" t="s">
        <v>225</v>
      </c>
      <c r="H84" s="367"/>
      <c r="I84" s="367"/>
      <c r="J84" s="367"/>
      <c r="K84" s="367"/>
      <c r="L84" s="367"/>
      <c r="M84" s="367"/>
      <c r="N84" s="367"/>
      <c r="O84" s="367"/>
      <c r="P84" s="367"/>
      <c r="Q84" s="368"/>
      <c r="R84" s="383"/>
      <c r="S84" s="384"/>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T84" s="11">
        <f>IF($W84="同一建設",3,10)</f>
        <v>10</v>
      </c>
      <c r="AU84" s="11">
        <f>IF($W87="同一建設",3,10)</f>
        <v>10</v>
      </c>
    </row>
    <row r="85" spans="1:61" ht="32.1" customHeight="1" thickBot="1" x14ac:dyDescent="0.25">
      <c r="A85" s="12"/>
      <c r="B85" s="309"/>
      <c r="C85" s="445"/>
      <c r="D85" s="492"/>
      <c r="E85" s="447"/>
      <c r="F85" s="496"/>
      <c r="G85" s="325" t="s">
        <v>264</v>
      </c>
      <c r="H85" s="323"/>
      <c r="I85" s="479" t="s">
        <v>341</v>
      </c>
      <c r="J85" s="479"/>
      <c r="K85" s="485" t="s">
        <v>168</v>
      </c>
      <c r="L85" s="486"/>
      <c r="M85" s="486"/>
      <c r="N85" s="486"/>
      <c r="O85" s="486"/>
      <c r="P85" s="486"/>
      <c r="Q85" s="487"/>
      <c r="R85" s="383"/>
      <c r="S85" s="384"/>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Q85" s="270"/>
      <c r="AT85" s="11">
        <f>IF($W84="県内",4,10)</f>
        <v>10</v>
      </c>
      <c r="AU85" s="11">
        <f>IF($W87="県内",4,10)</f>
        <v>10</v>
      </c>
    </row>
    <row r="86" spans="1:61" ht="32.1" customHeight="1" thickTop="1" thickBot="1" x14ac:dyDescent="0.25">
      <c r="A86" s="12"/>
      <c r="B86" s="309"/>
      <c r="C86" s="445"/>
      <c r="D86" s="492"/>
      <c r="E86" s="447"/>
      <c r="F86" s="496"/>
      <c r="G86" s="506" t="s">
        <v>265</v>
      </c>
      <c r="H86" s="303"/>
      <c r="I86" s="479" t="s">
        <v>341</v>
      </c>
      <c r="J86" s="479"/>
      <c r="K86" s="364" t="s">
        <v>168</v>
      </c>
      <c r="L86" s="478"/>
      <c r="M86" s="478"/>
      <c r="N86" s="478"/>
      <c r="O86" s="478"/>
      <c r="P86" s="478"/>
      <c r="Q86" s="365"/>
      <c r="R86" s="383"/>
      <c r="S86" s="384"/>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280</v>
      </c>
      <c r="AO86" s="21" t="e">
        <f>IF(AND('1.基本データ(このシートは削除しないこと！)'!H17=2,AC82&gt;=30),VLOOKUP($AC$82,$AJ$76:$AM$82,4,0),0)</f>
        <v>#N/A</v>
      </c>
      <c r="AP86" s="21" t="e">
        <f>IF(AND('1.基本データ(このシートは削除しないこと！)'!H17=2,AG82&gt;=30),VLOOKUP($AG$82,$AJ$76:$AM$82,4,0),0)</f>
        <v>#N/A</v>
      </c>
      <c r="AQ86" s="83"/>
      <c r="AT86" s="93">
        <f>MIN(AT82:AT85)</f>
        <v>10</v>
      </c>
      <c r="AU86" s="93">
        <f>MIN(AU82:AU85)</f>
        <v>10</v>
      </c>
      <c r="AV86" s="12"/>
      <c r="AW86" s="94"/>
    </row>
    <row r="87" spans="1:61" ht="19.95" customHeight="1" thickBot="1" x14ac:dyDescent="0.25">
      <c r="A87" s="12"/>
      <c r="B87" s="309"/>
      <c r="C87" s="445"/>
      <c r="D87" s="492"/>
      <c r="E87" s="447"/>
      <c r="F87" s="496"/>
      <c r="G87" s="480" t="s">
        <v>266</v>
      </c>
      <c r="H87" s="481"/>
      <c r="I87" s="481"/>
      <c r="J87" s="228"/>
      <c r="K87" s="500" t="str">
        <f>IF(K82="-","-",W88)</f>
        <v>-</v>
      </c>
      <c r="L87" s="501"/>
      <c r="M87" s="501"/>
      <c r="N87" s="501"/>
      <c r="O87" s="501"/>
      <c r="P87" s="501"/>
      <c r="Q87" s="502"/>
      <c r="R87" s="383"/>
      <c r="S87" s="384"/>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281</v>
      </c>
      <c r="AO87" s="21" t="e">
        <f>IF(AND('1.基本データ(このシートは削除しないこと！)'!H17=3,AC82&gt;=20),VLOOKUP($AC$82,$AJ$76:$AM$85,4,0),0)</f>
        <v>#N/A</v>
      </c>
      <c r="AP87" s="21" t="e">
        <f>IF(AND('1.基本データ(このシートは削除しないこと！)'!H17=3,AG82&gt;=20),VLOOKUP($AG82,$AJ$76:$AM$85,4,0),0)</f>
        <v>#N/A</v>
      </c>
      <c r="AQ87" s="271"/>
      <c r="AR87" s="154" t="s">
        <v>167</v>
      </c>
      <c r="AU87" s="11">
        <f>MIN(AT86:AU86)</f>
        <v>10</v>
      </c>
      <c r="AV87" s="12" t="s">
        <v>194</v>
      </c>
    </row>
    <row r="88" spans="1:61" ht="19.95" customHeight="1" thickBot="1" x14ac:dyDescent="0.25">
      <c r="A88" s="12"/>
      <c r="B88" s="310"/>
      <c r="C88" s="455"/>
      <c r="D88" s="493"/>
      <c r="E88" s="494"/>
      <c r="F88" s="497"/>
      <c r="G88" s="482" t="s">
        <v>342</v>
      </c>
      <c r="H88" s="483"/>
      <c r="I88" s="483"/>
      <c r="J88" s="484"/>
      <c r="K88" s="503" t="str">
        <f>IF(K83="-","-",X88)</f>
        <v>-</v>
      </c>
      <c r="L88" s="504"/>
      <c r="M88" s="504"/>
      <c r="N88" s="504"/>
      <c r="O88" s="504"/>
      <c r="P88" s="504"/>
      <c r="Q88" s="505"/>
      <c r="R88" s="385"/>
      <c r="S88" s="386"/>
      <c r="T88" s="95"/>
      <c r="U88" s="95"/>
      <c r="V88" s="7" t="s">
        <v>226</v>
      </c>
      <c r="W88" s="99" t="str">
        <f>IF(AH82&gt;=0,W84,W87)</f>
        <v>-</v>
      </c>
      <c r="X88" s="99" t="str">
        <f>IF(AH82&gt;=0,X84,X87)</f>
        <v>支店等</v>
      </c>
      <c r="Y88" s="100"/>
      <c r="Z88" s="98"/>
      <c r="AH88" s="83"/>
      <c r="AJ88" s="1">
        <v>10</v>
      </c>
      <c r="AK88" s="1" t="s">
        <v>4</v>
      </c>
      <c r="AL88" s="1" t="s">
        <v>3</v>
      </c>
      <c r="AM88" s="21">
        <v>0.5</v>
      </c>
      <c r="AN88" s="171" t="s">
        <v>282</v>
      </c>
      <c r="AO88" s="21" t="e">
        <f>IF(AND('1.基本データ(このシートは削除しないこと！)'!H17=4,AC82&gt;=10),VLOOKUP($AC$82,$AJ$76:$AM$88,4,0),0)</f>
        <v>#N/A</v>
      </c>
      <c r="AP88" s="21" t="e">
        <f>IF(AND('1.基本データ(このシートは削除しないこと！)'!H17=4,AG82&gt;=10),VLOOKUP($AG$82,$AJ$76:$AM$88,4,0),0)</f>
        <v>#N/A</v>
      </c>
      <c r="AQ88" s="83"/>
      <c r="AR88" s="172" t="e">
        <f>MAX(AO86:AP88)</f>
        <v>#N/A</v>
      </c>
      <c r="AU88" s="19" t="e">
        <f>IF(AU87&lt;='1.基本データ(このシートは削除しないこと！)'!H17,1,0)</f>
        <v>#N/A</v>
      </c>
      <c r="AV88" t="s">
        <v>217</v>
      </c>
    </row>
    <row r="89" spans="1:61" ht="24" customHeight="1" thickBot="1" x14ac:dyDescent="0.25">
      <c r="A89" s="12"/>
      <c r="B89" s="498" t="e">
        <f>IF(AND(K82&lt;&gt;"-",AT90=0),"※入札参加者の所在地が地域要件ごとの評価対象エリア外のため、「ボランティア活動」と「選択項目」は評価対象外です。","")</f>
        <v>#N/A</v>
      </c>
      <c r="C89" s="498"/>
      <c r="D89" s="498"/>
      <c r="E89" s="498"/>
      <c r="F89" s="498"/>
      <c r="G89" s="498"/>
      <c r="H89" s="498"/>
      <c r="I89" s="499"/>
      <c r="J89" s="499"/>
      <c r="K89" s="499"/>
      <c r="L89" s="499"/>
      <c r="M89" s="499"/>
      <c r="N89" s="499"/>
      <c r="O89" s="499"/>
      <c r="P89" s="499"/>
      <c r="Q89" s="499"/>
      <c r="R89" s="499"/>
      <c r="S89" s="498"/>
      <c r="T89" s="95"/>
      <c r="U89" s="95"/>
      <c r="W89" s="75"/>
      <c r="X89" s="101"/>
      <c r="Y89" s="101"/>
      <c r="Z89" s="102"/>
      <c r="AG89" s="83"/>
      <c r="AS89" s="329" t="s">
        <v>336</v>
      </c>
      <c r="AT89" t="s">
        <v>218</v>
      </c>
    </row>
    <row r="90" spans="1:61" ht="32.1" customHeight="1" thickBot="1" x14ac:dyDescent="0.25">
      <c r="A90" s="12"/>
      <c r="B90" s="440" t="s">
        <v>346</v>
      </c>
      <c r="C90" s="440"/>
      <c r="D90" s="440"/>
      <c r="E90" s="43" t="s">
        <v>169</v>
      </c>
      <c r="F90" s="44" t="s">
        <v>1</v>
      </c>
      <c r="G90" s="326" t="s">
        <v>343</v>
      </c>
      <c r="H90" s="327"/>
      <c r="I90" s="327"/>
      <c r="J90" s="327"/>
      <c r="K90" s="327"/>
      <c r="L90" s="327"/>
      <c r="M90" s="327"/>
      <c r="N90" s="327"/>
      <c r="O90" s="327"/>
      <c r="P90" s="327"/>
      <c r="Q90" s="32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284</v>
      </c>
      <c r="AG90" s="109" t="s">
        <v>162</v>
      </c>
      <c r="AH90" s="109" t="s">
        <v>163</v>
      </c>
      <c r="AI90" s="109" t="s">
        <v>204</v>
      </c>
      <c r="AK90" s="109" t="s">
        <v>165</v>
      </c>
      <c r="AL90" s="109" t="s">
        <v>166</v>
      </c>
      <c r="AM90" s="109" t="s">
        <v>204</v>
      </c>
      <c r="AN90" s="174" t="s">
        <v>280</v>
      </c>
      <c r="AO90" s="174" t="s">
        <v>283</v>
      </c>
      <c r="AP90" s="272" t="s">
        <v>282</v>
      </c>
      <c r="AQ90" s="175" t="s">
        <v>401</v>
      </c>
      <c r="AR90" s="154" t="s">
        <v>167</v>
      </c>
      <c r="AS90" s="329"/>
      <c r="AT90" s="19" t="e">
        <f>IF(AT86&lt;'1.基本データ(このシートは削除しないこと！)'!H17+1,1,0)</f>
        <v>#N/A</v>
      </c>
      <c r="AU90" t="s">
        <v>195</v>
      </c>
    </row>
    <row r="91" spans="1:61" ht="34.950000000000003" customHeight="1" thickBot="1" x14ac:dyDescent="0.25">
      <c r="A91" s="12"/>
      <c r="B91" s="488" t="s">
        <v>190</v>
      </c>
      <c r="C91" s="303" t="s">
        <v>270</v>
      </c>
      <c r="D91" s="340"/>
      <c r="E91" s="110">
        <f>AG91</f>
        <v>0.5</v>
      </c>
      <c r="F91" s="161" t="e">
        <f>IF(OR($AT$90=0,V91=0),"-",AR91)</f>
        <v>#N/A</v>
      </c>
      <c r="G91" s="303" t="s">
        <v>357</v>
      </c>
      <c r="H91" s="419"/>
      <c r="I91" s="419"/>
      <c r="J91" s="419"/>
      <c r="K91" s="419"/>
      <c r="L91" s="419"/>
      <c r="M91" s="419"/>
      <c r="N91" s="419"/>
      <c r="O91" s="419"/>
      <c r="P91" s="419"/>
      <c r="Q91" s="419"/>
      <c r="R91" s="180"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t="e">
        <f>IF('1.基本データ(このシートは削除しないこと！)'!$H$17=2,MAX(AK91:AL91),0)</f>
        <v>#N/A</v>
      </c>
      <c r="AO91" s="31" t="e">
        <f>IF('1.基本データ(このシートは削除しないこと！)'!$H$17=3,MAX(AK91:AM91),0)</f>
        <v>#N/A</v>
      </c>
      <c r="AP91" s="278" t="e">
        <f>IF(AND('1.基本データ(このシートは削除しないこと！)'!$H$17=4,AF91="県内"),V91*AI91,0)</f>
        <v>#N/A</v>
      </c>
      <c r="AQ91" s="283"/>
      <c r="AR91" s="155" t="str">
        <f>IF(V91=1,MAX(AN91:AP91),"-")</f>
        <v>-</v>
      </c>
      <c r="AS91" s="187"/>
    </row>
    <row r="92" spans="1:61" ht="34.950000000000003" customHeight="1" thickBot="1" x14ac:dyDescent="0.25">
      <c r="A92" s="12"/>
      <c r="B92" s="488"/>
      <c r="C92" s="341" t="s">
        <v>269</v>
      </c>
      <c r="D92" s="342"/>
      <c r="E92" s="164">
        <f>AG92</f>
        <v>0.5</v>
      </c>
      <c r="F92" s="181" t="str">
        <f>IF(OR(V92=0),"-",AR92)</f>
        <v>-</v>
      </c>
      <c r="G92" s="341" t="s">
        <v>358</v>
      </c>
      <c r="H92" s="443"/>
      <c r="I92" s="443"/>
      <c r="J92" s="443"/>
      <c r="K92" s="443"/>
      <c r="L92" s="443"/>
      <c r="M92" s="443"/>
      <c r="N92" s="443"/>
      <c r="O92" s="443"/>
      <c r="P92" s="443"/>
      <c r="Q92" s="443"/>
      <c r="R92" s="180"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t="e">
        <f>IF('1.基本データ(このシートは削除しないこと！)'!$H$17=2,MAX(AK92:AM92),0)</f>
        <v>#N/A</v>
      </c>
      <c r="AO92" s="31" t="e">
        <f>IF('1.基本データ(このシートは削除しないこと！)'!$H$17=3,MAX(AK92:AM92),0)</f>
        <v>#N/A</v>
      </c>
      <c r="AP92" s="278" t="e">
        <f>IF(AND('1.基本データ(このシートは削除しないこと！)'!$H$17=4,AF92="県内"),V92*AG92,0)</f>
        <v>#N/A</v>
      </c>
      <c r="AQ92" s="283"/>
      <c r="AR92" s="155" t="str">
        <f>IF(V92=1,MAX(AN92:AP92),"-")</f>
        <v>-</v>
      </c>
      <c r="AS92" s="188"/>
    </row>
    <row r="93" spans="1:61" ht="72" customHeight="1" thickBot="1" x14ac:dyDescent="0.25">
      <c r="A93" s="12"/>
      <c r="B93" s="488"/>
      <c r="C93" s="347" t="s">
        <v>232</v>
      </c>
      <c r="D93" s="462" t="s">
        <v>395</v>
      </c>
      <c r="E93" s="467">
        <v>1.75</v>
      </c>
      <c r="F93" s="465" t="e">
        <f>IF(OR($AT$90=0,AR93=0,SUM(V93:V95)=0),"-",AT94)</f>
        <v>#N/A</v>
      </c>
      <c r="G93" s="343" t="s">
        <v>396</v>
      </c>
      <c r="H93" s="511" t="s">
        <v>400</v>
      </c>
      <c r="I93" s="401" t="s">
        <v>351</v>
      </c>
      <c r="J93" s="402"/>
      <c r="K93" s="402"/>
      <c r="L93" s="402"/>
      <c r="M93" s="402"/>
      <c r="N93" s="402"/>
      <c r="O93" s="402"/>
      <c r="P93" s="402"/>
      <c r="Q93" s="403"/>
      <c r="R93" s="185" t="s">
        <v>168</v>
      </c>
      <c r="S93" s="468" t="s">
        <v>168</v>
      </c>
      <c r="T93" s="117"/>
      <c r="U93" s="117"/>
      <c r="V93" s="238">
        <f>IF(R93="有",1,0)</f>
        <v>0</v>
      </c>
      <c r="W93" s="332">
        <f>IF(SUM(V93:V95)&gt;0,1,0)</f>
        <v>0</v>
      </c>
      <c r="X93" s="238">
        <f>IF(S93="-",0,1)</f>
        <v>0</v>
      </c>
      <c r="Y93" s="223">
        <f>IF(OR(S93='1.基本データ(このシートは削除しないこと！)'!$D$19,'2.様式第1号、第11号-1(特別簡易型)'!S93='1.基本データ(このシートは削除しないこと！)'!$E$19),1,0)</f>
        <v>1</v>
      </c>
      <c r="Z93" s="224" t="str">
        <f>VLOOKUP(S93,リスト2!$C$3:$E$65,2,FALSE)</f>
        <v>-</v>
      </c>
      <c r="AA93" s="225">
        <f>IF(OR(Z93='1.基本データ(このシートは削除しないこと！)'!$D$20,Z93='1.基本データ(このシートは削除しないこと！)'!$E$20),1,0)</f>
        <v>1</v>
      </c>
      <c r="AB93" s="224" t="str">
        <f>VLOOKUP(S93,リスト2!$C$3:$E$65,3,FALSE)</f>
        <v>-</v>
      </c>
      <c r="AC93" s="225">
        <f>IF(OR(AB93='1.基本データ(このシートは削除しないこと！)'!$D$21,AB93='1.基本データ(このシートは削除しないこと！)'!$E$21),1,0)</f>
        <v>1</v>
      </c>
      <c r="AD93" s="226">
        <f t="shared" ref="AD93" si="7">Y93+AA93+AC93</f>
        <v>3</v>
      </c>
      <c r="AE93" s="211">
        <f>IF(AND('1.基本データ(このシートは削除しないこと！)'!$D$17="全国",AB93&lt;&gt;"-"),4,0)</f>
        <v>0</v>
      </c>
      <c r="AF93" s="176" t="str">
        <f>VLOOKUP(S93,リスト2!$C$3:$F$65,4,FALSE)</f>
        <v>-</v>
      </c>
      <c r="AG93" s="240">
        <v>1.5</v>
      </c>
      <c r="AH93" s="128">
        <v>1.5</v>
      </c>
      <c r="AI93" s="128">
        <v>1.5</v>
      </c>
      <c r="AJ93" s="418">
        <f>IF(H95="-",0,1)</f>
        <v>0</v>
      </c>
      <c r="AK93" s="218">
        <f>IF($V93*X93*$AD93=3,AG93,0)</f>
        <v>0</v>
      </c>
      <c r="AL93" s="218">
        <f>IF($V93*X93*$AD93=2,AH93,0)</f>
        <v>0</v>
      </c>
      <c r="AM93" s="218">
        <f t="shared" si="6"/>
        <v>0</v>
      </c>
      <c r="AN93" s="177" t="e">
        <f>IF('1.基本データ(このシートは削除しないこと！)'!$H$17=2,MAX(AK93:AL93),0)</f>
        <v>#N/A</v>
      </c>
      <c r="AO93" s="177" t="e">
        <f>IF('1.基本データ(このシートは削除しないこと！)'!$H$17=3,MAX(AK93:AM93),0)</f>
        <v>#N/A</v>
      </c>
      <c r="AP93" s="279" t="e">
        <f>IF(AND('1.基本データ(このシートは削除しないこと！)'!$H$17=4,AF93="県内"),V93*AI93,0)</f>
        <v>#N/A</v>
      </c>
      <c r="AQ93" s="273">
        <f>IF($V93*$X93*$AJ93=1,AH93,0)</f>
        <v>0</v>
      </c>
      <c r="AR93" s="376" t="e">
        <f>IF(W93&lt;=2,MAX(AN93:AQ95),"-")</f>
        <v>#N/A</v>
      </c>
      <c r="AS93" s="330" t="e">
        <f>AR93+0.25</f>
        <v>#N/A</v>
      </c>
    </row>
    <row r="94" spans="1:61" ht="35.4" customHeight="1" thickBot="1" x14ac:dyDescent="0.25">
      <c r="A94" s="12"/>
      <c r="B94" s="488"/>
      <c r="C94" s="348"/>
      <c r="D94" s="463"/>
      <c r="E94" s="354"/>
      <c r="F94" s="379"/>
      <c r="G94" s="344"/>
      <c r="H94" s="512"/>
      <c r="I94" s="404" t="s">
        <v>352</v>
      </c>
      <c r="J94" s="405"/>
      <c r="K94" s="405"/>
      <c r="L94" s="405"/>
      <c r="M94" s="405"/>
      <c r="N94" s="405"/>
      <c r="O94" s="405"/>
      <c r="P94" s="405"/>
      <c r="Q94" s="406"/>
      <c r="R94" s="185" t="s">
        <v>168</v>
      </c>
      <c r="S94" s="469"/>
      <c r="T94" s="117"/>
      <c r="U94" s="117"/>
      <c r="V94" s="212">
        <f t="shared" si="4"/>
        <v>0</v>
      </c>
      <c r="W94" s="333"/>
      <c r="X94" s="212">
        <f>X93</f>
        <v>0</v>
      </c>
      <c r="Y94" s="212">
        <f t="shared" ref="Y94:AE94" si="8">Y93</f>
        <v>1</v>
      </c>
      <c r="Z94" s="249" t="str">
        <f t="shared" si="8"/>
        <v>-</v>
      </c>
      <c r="AA94" s="253">
        <f t="shared" si="8"/>
        <v>1</v>
      </c>
      <c r="AB94" s="254" t="str">
        <f t="shared" si="8"/>
        <v>-</v>
      </c>
      <c r="AC94" s="251">
        <f t="shared" si="8"/>
        <v>1</v>
      </c>
      <c r="AD94" s="212">
        <f t="shared" si="8"/>
        <v>3</v>
      </c>
      <c r="AE94" s="212">
        <f t="shared" si="8"/>
        <v>0</v>
      </c>
      <c r="AF94" s="176" t="str">
        <f>AF93</f>
        <v>-</v>
      </c>
      <c r="AG94" s="243">
        <v>1.25</v>
      </c>
      <c r="AH94" s="220">
        <v>1.25</v>
      </c>
      <c r="AI94" s="220">
        <v>1.25</v>
      </c>
      <c r="AJ94" s="418"/>
      <c r="AK94" s="221">
        <f>IF($V94*X94*$AD94=3,AG94,0)</f>
        <v>0</v>
      </c>
      <c r="AL94" s="221">
        <f t="shared" ref="AL94:AL99" si="9">IF($V94*X94*$AD94=2,AH94,0)</f>
        <v>0</v>
      </c>
      <c r="AM94" s="221">
        <f t="shared" si="6"/>
        <v>0</v>
      </c>
      <c r="AN94" s="178" t="e">
        <f>IF('1.基本データ(このシートは削除しないこと！)'!$H$17=2,MAX(AK94:AL94),0)</f>
        <v>#N/A</v>
      </c>
      <c r="AO94" s="178" t="e">
        <f>IF('1.基本データ(このシートは削除しないこと！)'!$H$17=3,MAX(AK94:AM94),0)</f>
        <v>#N/A</v>
      </c>
      <c r="AP94" s="280" t="e">
        <f>IF(AND('1.基本データ(このシートは削除しないこと！)'!$H$17=4,AF94="県内"),V94*AI94,0)</f>
        <v>#N/A</v>
      </c>
      <c r="AQ94" s="277">
        <f>IF($V94*$X94*$AJ93=1,AH94,0)</f>
        <v>0</v>
      </c>
      <c r="AR94" s="377"/>
      <c r="AS94" s="330"/>
      <c r="AT94" s="192" t="str">
        <f>IF(AT95=1,MAX(AR93:AS93),IF(AT95=2,MIN(AR93:AS93),"-"))</f>
        <v>-</v>
      </c>
      <c r="BF94" s="184"/>
      <c r="BG94" s="184"/>
      <c r="BH94" s="184"/>
      <c r="BI94" s="184"/>
    </row>
    <row r="95" spans="1:61" ht="58.8" customHeight="1" thickBot="1" x14ac:dyDescent="0.25">
      <c r="A95" s="12"/>
      <c r="B95" s="488"/>
      <c r="C95" s="348"/>
      <c r="D95" s="464"/>
      <c r="E95" s="353"/>
      <c r="F95" s="466"/>
      <c r="G95" s="259" t="s">
        <v>168</v>
      </c>
      <c r="H95" s="264" t="s">
        <v>168</v>
      </c>
      <c r="I95" s="404" t="s">
        <v>353</v>
      </c>
      <c r="J95" s="405"/>
      <c r="K95" s="405"/>
      <c r="L95" s="405"/>
      <c r="M95" s="405"/>
      <c r="N95" s="405"/>
      <c r="O95" s="405"/>
      <c r="P95" s="405"/>
      <c r="Q95" s="406"/>
      <c r="R95" s="185" t="s">
        <v>168</v>
      </c>
      <c r="S95" s="470"/>
      <c r="T95" s="117"/>
      <c r="U95" s="117"/>
      <c r="V95" s="239">
        <f t="shared" si="4"/>
        <v>0</v>
      </c>
      <c r="W95" s="334"/>
      <c r="X95" s="239">
        <f>X93</f>
        <v>0</v>
      </c>
      <c r="Y95" s="239">
        <f t="shared" ref="Y95:AE95" si="10">Y93</f>
        <v>1</v>
      </c>
      <c r="Z95" s="250" t="str">
        <f t="shared" si="10"/>
        <v>-</v>
      </c>
      <c r="AA95" s="255">
        <f t="shared" si="10"/>
        <v>1</v>
      </c>
      <c r="AB95" s="256" t="str">
        <f t="shared" si="10"/>
        <v>-</v>
      </c>
      <c r="AC95" s="252">
        <f t="shared" si="10"/>
        <v>1</v>
      </c>
      <c r="AD95" s="239">
        <f t="shared" si="10"/>
        <v>3</v>
      </c>
      <c r="AE95" s="239">
        <f t="shared" si="10"/>
        <v>0</v>
      </c>
      <c r="AF95" s="176" t="str">
        <f>AF93</f>
        <v>-</v>
      </c>
      <c r="AG95" s="241">
        <v>0.75</v>
      </c>
      <c r="AH95" s="242">
        <v>0.75</v>
      </c>
      <c r="AI95" s="242">
        <v>0.75</v>
      </c>
      <c r="AJ95" s="418"/>
      <c r="AK95" s="244">
        <f>IF($V95*X95*$AD95=3,AG95,0)</f>
        <v>0</v>
      </c>
      <c r="AL95" s="131">
        <f t="shared" si="9"/>
        <v>0</v>
      </c>
      <c r="AM95" s="131">
        <f t="shared" si="6"/>
        <v>0</v>
      </c>
      <c r="AN95" s="179" t="e">
        <f>IF('1.基本データ(このシートは削除しないこと！)'!$H$17=2,MAX(AK95:AL95),0)</f>
        <v>#N/A</v>
      </c>
      <c r="AO95" s="179" t="e">
        <f>IF('1.基本データ(このシートは削除しないこと！)'!$H$17=3,MAX(AK95:AM95),0)</f>
        <v>#N/A</v>
      </c>
      <c r="AP95" s="281" t="e">
        <f>IF(AND('1.基本データ(このシートは削除しないこと！)'!$H$17=4,AF95="県内"),V95*AI95,0)</f>
        <v>#N/A</v>
      </c>
      <c r="AQ95" s="275">
        <f>IF($V95*$X95*$AJ93=1,AH95,0)</f>
        <v>0</v>
      </c>
      <c r="AR95" s="417"/>
      <c r="AS95" s="331"/>
      <c r="AT95" s="189">
        <f>IF(G95=リスト!Q4,1,IF(G95=リスト!Q5,2,0))</f>
        <v>0</v>
      </c>
      <c r="AU95" s="1">
        <f>AT95</f>
        <v>0</v>
      </c>
      <c r="BF95" s="184"/>
      <c r="BG95" s="184"/>
      <c r="BH95" s="184"/>
      <c r="BI95" s="184"/>
    </row>
    <row r="96" spans="1:61" ht="79.95" customHeight="1" thickBot="1" x14ac:dyDescent="0.25">
      <c r="A96" s="12"/>
      <c r="B96" s="488"/>
      <c r="C96" s="348"/>
      <c r="D96" s="350" t="s">
        <v>268</v>
      </c>
      <c r="E96" s="352">
        <f>AG96</f>
        <v>1.25</v>
      </c>
      <c r="F96" s="356" t="e">
        <f>IF(OR($AT$90=0,V96+V97=0),"-",AR96)</f>
        <v>#N/A</v>
      </c>
      <c r="G96" s="321" t="s">
        <v>354</v>
      </c>
      <c r="H96" s="322"/>
      <c r="I96" s="322"/>
      <c r="J96" s="322"/>
      <c r="K96" s="322"/>
      <c r="L96" s="322"/>
      <c r="M96" s="322"/>
      <c r="N96" s="322"/>
      <c r="O96" s="322"/>
      <c r="P96" s="322"/>
      <c r="Q96" s="322"/>
      <c r="R96" s="180" t="s">
        <v>168</v>
      </c>
      <c r="S96" s="468" t="s">
        <v>168</v>
      </c>
      <c r="T96" s="125"/>
      <c r="U96" s="125"/>
      <c r="V96" s="118">
        <f t="shared" si="4"/>
        <v>0</v>
      </c>
      <c r="W96" s="332">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18">
        <f t="shared" si="9"/>
        <v>0</v>
      </c>
      <c r="AM96" s="218">
        <f t="shared" si="6"/>
        <v>0</v>
      </c>
      <c r="AN96" s="177" t="e">
        <f>IF('1.基本データ(このシートは削除しないこと！)'!$H$17=2,MAX(AK96:AL96),0)</f>
        <v>#N/A</v>
      </c>
      <c r="AO96" s="177" t="e">
        <f>IF('1.基本データ(このシートは削除しないこと！)'!$H$17=3,MAX(AK96:AM96),0)</f>
        <v>#N/A</v>
      </c>
      <c r="AP96" s="279" t="e">
        <f>IF(AND('1.基本データ(このシートは削除しないこと！)'!$H$17=4,AF96="県内"),V96*AI96,0)</f>
        <v>#N/A</v>
      </c>
      <c r="AQ96" s="273"/>
      <c r="AR96" s="156" t="e">
        <f>IF(W96&lt;=2,MAX(AN96:AP97),"-")</f>
        <v>#N/A</v>
      </c>
      <c r="BF96" s="186"/>
      <c r="BG96" s="186"/>
      <c r="BH96" s="186"/>
      <c r="BI96" s="186"/>
    </row>
    <row r="97" spans="1:47" ht="34.950000000000003" customHeight="1" thickBot="1" x14ac:dyDescent="0.25">
      <c r="A97" s="12"/>
      <c r="B97" s="488"/>
      <c r="C97" s="348"/>
      <c r="D97" s="351"/>
      <c r="E97" s="353"/>
      <c r="F97" s="357"/>
      <c r="G97" s="323" t="s">
        <v>359</v>
      </c>
      <c r="H97" s="324"/>
      <c r="I97" s="324"/>
      <c r="J97" s="324"/>
      <c r="K97" s="324"/>
      <c r="L97" s="324"/>
      <c r="M97" s="324"/>
      <c r="N97" s="324"/>
      <c r="O97" s="324"/>
      <c r="P97" s="324"/>
      <c r="Q97" s="324"/>
      <c r="R97" s="180" t="s">
        <v>168</v>
      </c>
      <c r="S97" s="470"/>
      <c r="T97" s="117"/>
      <c r="U97" s="117"/>
      <c r="V97" s="68">
        <f t="shared" ref="V97:V102" si="11">IF(R97="有",1,0)</f>
        <v>0</v>
      </c>
      <c r="W97" s="334"/>
      <c r="X97" s="163">
        <f>X96</f>
        <v>0</v>
      </c>
      <c r="Y97" s="163">
        <f t="shared" ref="Y97:AE97" si="12">Y96</f>
        <v>1</v>
      </c>
      <c r="Z97" s="248" t="str">
        <f t="shared" si="12"/>
        <v>-</v>
      </c>
      <c r="AA97" s="246">
        <f t="shared" si="12"/>
        <v>1</v>
      </c>
      <c r="AB97" s="247" t="str">
        <f t="shared" si="12"/>
        <v>-</v>
      </c>
      <c r="AC97" s="245">
        <f t="shared" si="12"/>
        <v>1</v>
      </c>
      <c r="AD97" s="163">
        <f t="shared" si="12"/>
        <v>3</v>
      </c>
      <c r="AE97" s="163">
        <f t="shared" si="12"/>
        <v>0</v>
      </c>
      <c r="AF97" s="176" t="str">
        <f>AF96</f>
        <v>-</v>
      </c>
      <c r="AG97" s="130">
        <v>0.75</v>
      </c>
      <c r="AH97" s="130">
        <v>0.75</v>
      </c>
      <c r="AI97" s="130">
        <v>0.75</v>
      </c>
      <c r="AK97" s="131">
        <f>IF($V97*$X97*$AD97=3,AG97,0)</f>
        <v>0</v>
      </c>
      <c r="AL97" s="222">
        <f t="shared" si="9"/>
        <v>0</v>
      </c>
      <c r="AM97" s="222">
        <f t="shared" si="6"/>
        <v>0</v>
      </c>
      <c r="AN97" s="179" t="e">
        <f>IF('1.基本データ(このシートは削除しないこと！)'!$H$17=2,MAX(AK97:AL97),0)</f>
        <v>#N/A</v>
      </c>
      <c r="AO97" s="179" t="e">
        <f>IF('1.基本データ(このシートは削除しないこと！)'!$H$17=3,MAX(AK97:AM97),0)</f>
        <v>#N/A</v>
      </c>
      <c r="AP97" s="281" t="e">
        <f>IF(AND('1.基本データ(このシートは削除しないこと！)'!$H$17=4,AF97="県内"),V97*AI97,0)</f>
        <v>#N/A</v>
      </c>
      <c r="AQ97" s="274"/>
      <c r="AR97" s="157"/>
    </row>
    <row r="98" spans="1:47" ht="34.950000000000003" customHeight="1" thickBot="1" x14ac:dyDescent="0.25">
      <c r="A98" s="12"/>
      <c r="B98" s="488"/>
      <c r="C98" s="348"/>
      <c r="D98" s="350" t="s">
        <v>229</v>
      </c>
      <c r="E98" s="352">
        <f>AG98</f>
        <v>1.25</v>
      </c>
      <c r="F98" s="356" t="e">
        <f>IF(OR($AT$90=0,V98+V99=0),"-",AR98)</f>
        <v>#N/A</v>
      </c>
      <c r="G98" s="323" t="s">
        <v>360</v>
      </c>
      <c r="H98" s="324"/>
      <c r="I98" s="324"/>
      <c r="J98" s="324"/>
      <c r="K98" s="324"/>
      <c r="L98" s="324"/>
      <c r="M98" s="324"/>
      <c r="N98" s="324"/>
      <c r="O98" s="324"/>
      <c r="P98" s="324"/>
      <c r="Q98" s="324"/>
      <c r="R98" s="180" t="s">
        <v>168</v>
      </c>
      <c r="S98" s="468" t="s">
        <v>168</v>
      </c>
      <c r="T98" s="117"/>
      <c r="U98" s="117"/>
      <c r="V98" s="118">
        <f>IF(R98="有",1,0)</f>
        <v>0</v>
      </c>
      <c r="W98" s="332">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7" t="e">
        <f>IF('1.基本データ(このシートは削除しないこと！)'!$H$17=2,MAX(AK98:AL98),0)</f>
        <v>#N/A</v>
      </c>
      <c r="AO98" s="177" t="e">
        <f>IF('1.基本データ(このシートは削除しないこと！)'!$H$17=3,MAX(AK98:AM98),0)</f>
        <v>#N/A</v>
      </c>
      <c r="AP98" s="279" t="e">
        <f>IF(AND('1.基本データ(このシートは削除しないこと！)'!$H$17=4,AF98="県内"),V98*AI98,0)</f>
        <v>#N/A</v>
      </c>
      <c r="AQ98" s="273"/>
      <c r="AR98" s="156" t="e">
        <f>IF(W98&lt;=2,MAX(AN98:AP99),"-")</f>
        <v>#N/A</v>
      </c>
    </row>
    <row r="99" spans="1:47" ht="34.950000000000003" customHeight="1" thickBot="1" x14ac:dyDescent="0.25">
      <c r="A99" s="12"/>
      <c r="B99" s="488"/>
      <c r="C99" s="348"/>
      <c r="D99" s="351"/>
      <c r="E99" s="353"/>
      <c r="F99" s="357"/>
      <c r="G99" s="323" t="s">
        <v>361</v>
      </c>
      <c r="H99" s="324"/>
      <c r="I99" s="324"/>
      <c r="J99" s="324"/>
      <c r="K99" s="324"/>
      <c r="L99" s="324"/>
      <c r="M99" s="324"/>
      <c r="N99" s="324"/>
      <c r="O99" s="324"/>
      <c r="P99" s="324"/>
      <c r="Q99" s="324"/>
      <c r="R99" s="180" t="s">
        <v>168</v>
      </c>
      <c r="S99" s="470"/>
      <c r="T99" s="132"/>
      <c r="U99" s="132"/>
      <c r="V99" s="68">
        <f>IF(R99="有",1,0)</f>
        <v>0</v>
      </c>
      <c r="W99" s="334"/>
      <c r="X99" s="163">
        <f>X98</f>
        <v>0</v>
      </c>
      <c r="Y99" s="163">
        <f t="shared" ref="Y99:AE99" si="14">Y98</f>
        <v>1</v>
      </c>
      <c r="Z99" s="248" t="str">
        <f t="shared" si="14"/>
        <v>-</v>
      </c>
      <c r="AA99" s="246">
        <f t="shared" si="14"/>
        <v>1</v>
      </c>
      <c r="AB99" s="247" t="str">
        <f t="shared" si="14"/>
        <v>-</v>
      </c>
      <c r="AC99" s="245">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79" t="e">
        <f>IF('1.基本データ(このシートは削除しないこと！)'!$H$17=2,MAX(AK99:AL99),0)</f>
        <v>#N/A</v>
      </c>
      <c r="AO99" s="179" t="e">
        <f>IF('1.基本データ(このシートは削除しないこと！)'!$H$17=3,MAX(AK99:AM99),0)</f>
        <v>#N/A</v>
      </c>
      <c r="AP99" s="281" t="e">
        <f>IF(AND('1.基本データ(このシートは削除しないこと！)'!$H$17=4,AF99="県内"),V99*AI99,0)</f>
        <v>#N/A</v>
      </c>
      <c r="AQ99" s="275"/>
      <c r="AR99" s="157"/>
    </row>
    <row r="100" spans="1:47" ht="79.95" customHeight="1" thickBot="1" x14ac:dyDescent="0.25">
      <c r="A100" s="12"/>
      <c r="B100" s="488"/>
      <c r="C100" s="348"/>
      <c r="D100" s="473" t="s">
        <v>397</v>
      </c>
      <c r="E100" s="352">
        <v>1.75</v>
      </c>
      <c r="F100" s="489" t="e">
        <f>IF(OR('1.基本データ(このシートは削除しないこと！)'!H16=10,$AT$90=0,AR100=0,SUM(V100:V102)=0),"-",AT101)</f>
        <v>#N/A</v>
      </c>
      <c r="G100" s="344" t="s">
        <v>388</v>
      </c>
      <c r="H100" s="325" t="s">
        <v>383</v>
      </c>
      <c r="I100" s="323"/>
      <c r="J100" s="323"/>
      <c r="K100" s="323"/>
      <c r="L100" s="323"/>
      <c r="M100" s="323"/>
      <c r="N100" s="323"/>
      <c r="O100" s="323"/>
      <c r="P100" s="323"/>
      <c r="Q100" s="345"/>
      <c r="R100" s="180" t="s">
        <v>168</v>
      </c>
      <c r="S100" s="468" t="s">
        <v>168</v>
      </c>
      <c r="T100" s="117"/>
      <c r="U100" s="117"/>
      <c r="V100" s="118">
        <f>IF(R100="有",1,0)</f>
        <v>0</v>
      </c>
      <c r="W100" s="332">
        <f>IF(SUM(V100:V102)&gt;0,1,0)+W98</f>
        <v>0</v>
      </c>
      <c r="X100" s="194">
        <f>IF(S100="-",0,1)</f>
        <v>0</v>
      </c>
      <c r="Y100" s="223">
        <f>IF(OR(S100='1.基本データ(このシートは削除しないこと！)'!$D$19,'2.様式第1号、第11号-1(特別簡易型)'!S100='1.基本データ(このシートは削除しないこと！)'!$E$19),1,0)</f>
        <v>1</v>
      </c>
      <c r="Z100" s="224" t="str">
        <f>VLOOKUP(S100,リスト2!$C$3:$E$65,2,FALSE)</f>
        <v>-</v>
      </c>
      <c r="AA100" s="225">
        <f>IF(OR(Z100='1.基本データ(このシートは削除しないこと！)'!$D$20,Z100='1.基本データ(このシートは削除しないこと！)'!$E$20),1,0)</f>
        <v>1</v>
      </c>
      <c r="AB100" s="224" t="str">
        <f>VLOOKUP(S100,リスト2!$C$3:$E$65,3,FALSE)</f>
        <v>-</v>
      </c>
      <c r="AC100" s="225">
        <f>IF(OR(AB100='1.基本データ(このシートは削除しないこと！)'!$D$21,AB100='1.基本データ(このシートは削除しないこと！)'!$E$21),1,0)</f>
        <v>1</v>
      </c>
      <c r="AD100" s="226">
        <f t="shared" si="13"/>
        <v>3</v>
      </c>
      <c r="AE100" s="226">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18">
        <f>IF($V100*X100*$AD100=3,AG100,0)</f>
        <v>0</v>
      </c>
      <c r="AL100" s="218">
        <f>IF($V100*X100*$AD100=2,AH100,0)</f>
        <v>0</v>
      </c>
      <c r="AM100" s="218">
        <f>IF(OR($V100*$X100*$AD100=1,$V100*$X100*$AE100=4),AI100,0)</f>
        <v>0</v>
      </c>
      <c r="AN100" s="177" t="e">
        <f>IF('1.基本データ(このシートは削除しないこと！)'!$H$17=2,MAX(AK100:AL100),0)</f>
        <v>#N/A</v>
      </c>
      <c r="AO100" s="177" t="e">
        <f>IF('1.基本データ(このシートは削除しないこと！)'!$H$17=3,MAX(AK100:AM100),0)</f>
        <v>#N/A</v>
      </c>
      <c r="AP100" s="279" t="e">
        <f>IF(AND('1.基本データ(このシートは削除しないこと！)'!$H$17=4,AF100="県内"),V100*AI100,0)</f>
        <v>#N/A</v>
      </c>
      <c r="AQ100" s="276"/>
      <c r="AR100" s="376" t="e">
        <f>IF(W100&lt;=2,MAX(AN100:AP102),"-")</f>
        <v>#N/A</v>
      </c>
      <c r="AS100" s="311" t="e">
        <f>AR100+0.25</f>
        <v>#N/A</v>
      </c>
    </row>
    <row r="101" spans="1:47" ht="60" customHeight="1" thickBot="1" x14ac:dyDescent="0.25">
      <c r="A101" s="12"/>
      <c r="B101" s="488"/>
      <c r="C101" s="348"/>
      <c r="D101" s="474"/>
      <c r="E101" s="354"/>
      <c r="F101" s="356"/>
      <c r="G101" s="346"/>
      <c r="H101" s="325" t="s">
        <v>382</v>
      </c>
      <c r="I101" s="323"/>
      <c r="J101" s="323"/>
      <c r="K101" s="323"/>
      <c r="L101" s="323"/>
      <c r="M101" s="323"/>
      <c r="N101" s="323"/>
      <c r="O101" s="323"/>
      <c r="P101" s="323"/>
      <c r="Q101" s="345"/>
      <c r="R101" s="180" t="s">
        <v>168</v>
      </c>
      <c r="S101" s="469"/>
      <c r="T101" s="117"/>
      <c r="U101" s="117"/>
      <c r="V101" s="212">
        <f>IF(R101="有",1,0)</f>
        <v>0</v>
      </c>
      <c r="W101" s="333"/>
      <c r="X101" s="213">
        <f>X100</f>
        <v>0</v>
      </c>
      <c r="Y101" s="214">
        <f t="shared" ref="Y101:AF101" si="15">Y100</f>
        <v>1</v>
      </c>
      <c r="Z101" s="215" t="str">
        <f t="shared" si="15"/>
        <v>-</v>
      </c>
      <c r="AA101" s="216">
        <f t="shared" si="15"/>
        <v>1</v>
      </c>
      <c r="AB101" s="215" t="str">
        <f t="shared" si="15"/>
        <v>-</v>
      </c>
      <c r="AC101" s="216">
        <f t="shared" si="15"/>
        <v>1</v>
      </c>
      <c r="AD101" s="217">
        <f t="shared" si="15"/>
        <v>3</v>
      </c>
      <c r="AE101" s="217">
        <f t="shared" si="15"/>
        <v>0</v>
      </c>
      <c r="AF101" s="176" t="str">
        <f t="shared" si="15"/>
        <v>-</v>
      </c>
      <c r="AG101" s="220">
        <v>1</v>
      </c>
      <c r="AH101" s="220">
        <v>1</v>
      </c>
      <c r="AI101" s="220">
        <v>1</v>
      </c>
      <c r="AK101" s="221">
        <f>IF($V101*X101*$AD101=3,AG101,0)</f>
        <v>0</v>
      </c>
      <c r="AL101" s="221">
        <f>IF($V101*X101*$AD101=2,AH101,0)</f>
        <v>0</v>
      </c>
      <c r="AM101" s="221">
        <f>IF(OR($V101*$X101*$AD101=1,$V101*$X101*$AE101=4),AI101,0)</f>
        <v>0</v>
      </c>
      <c r="AN101" s="178" t="e">
        <f>IF('1.基本データ(このシートは削除しないこと！)'!$H$17=2,MAX(AK101:AL101),0)</f>
        <v>#N/A</v>
      </c>
      <c r="AO101" s="178" t="e">
        <f>IF('1.基本データ(このシートは削除しないこと！)'!$H$17=3,MAX(AK101:AM101),0)</f>
        <v>#N/A</v>
      </c>
      <c r="AP101" s="280" t="e">
        <f>IF(AND('1.基本データ(このシートは削除しないこと！)'!$H$17=4,AF101="県内"),V101*AI101,0)</f>
        <v>#N/A</v>
      </c>
      <c r="AQ101" s="277"/>
      <c r="AR101" s="377"/>
      <c r="AS101" s="312"/>
      <c r="AT101" s="19" t="str">
        <f>IF(AT102=1,MAX(AR100:AS100),IF(AT102=2,MIN(AR100:AS100),"-"))</f>
        <v>-</v>
      </c>
    </row>
    <row r="102" spans="1:47" ht="60" customHeight="1" thickBot="1" x14ac:dyDescent="0.25">
      <c r="A102" s="12"/>
      <c r="B102" s="488"/>
      <c r="C102" s="349"/>
      <c r="D102" s="475"/>
      <c r="E102" s="355"/>
      <c r="F102" s="490"/>
      <c r="G102" s="260" t="s">
        <v>168</v>
      </c>
      <c r="H102" s="471" t="s">
        <v>362</v>
      </c>
      <c r="I102" s="472"/>
      <c r="J102" s="472"/>
      <c r="K102" s="472"/>
      <c r="L102" s="472"/>
      <c r="M102" s="472"/>
      <c r="N102" s="472"/>
      <c r="O102" s="472"/>
      <c r="P102" s="472"/>
      <c r="Q102" s="472"/>
      <c r="R102" s="180" t="s">
        <v>168</v>
      </c>
      <c r="S102" s="470"/>
      <c r="T102" s="117"/>
      <c r="U102" s="117"/>
      <c r="V102" s="68">
        <f t="shared" si="11"/>
        <v>0</v>
      </c>
      <c r="W102" s="334"/>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19">
        <v>0.75</v>
      </c>
      <c r="AH102" s="219">
        <v>0.75</v>
      </c>
      <c r="AI102" s="219">
        <v>0.75</v>
      </c>
      <c r="AK102" s="131">
        <f>IF($V102*X102*$AD102=3,AG102,0)</f>
        <v>0</v>
      </c>
      <c r="AL102" s="131">
        <f>IF($V102*X102*$AD102=2,AH102,0)</f>
        <v>0</v>
      </c>
      <c r="AM102" s="131">
        <f>IF(OR($V102*$X102*$AD102=1,$V102*$X102*$AE102=4),AI102,0)</f>
        <v>0</v>
      </c>
      <c r="AN102" s="227" t="e">
        <f>IF('1.基本データ(このシートは削除しないこと！)'!$H$17=2,MAX(AK102:AL102),0)</f>
        <v>#N/A</v>
      </c>
      <c r="AO102" s="227" t="e">
        <f>IF('1.基本データ(このシートは削除しないこと！)'!$H$17=3,MAX(AK102:AM102),0)</f>
        <v>#N/A</v>
      </c>
      <c r="AP102" s="282" t="e">
        <f>IF(AND('1.基本データ(このシートは削除しないこと！)'!$H$17=4,AF102="県内"),V102*AI102,0)</f>
        <v>#N/A</v>
      </c>
      <c r="AQ102" s="275"/>
      <c r="AR102" s="378"/>
      <c r="AS102" s="313"/>
      <c r="AT102" s="189">
        <f>IF(G102=リスト!Q4,1,IF(G102=リスト!Q5,2,0))</f>
        <v>0</v>
      </c>
      <c r="AU102" s="1">
        <f>AT102</f>
        <v>0</v>
      </c>
    </row>
    <row r="105" spans="1:47" ht="9" customHeight="1" x14ac:dyDescent="0.2"/>
    <row r="106" spans="1:47" ht="9" customHeight="1" x14ac:dyDescent="0.2"/>
    <row r="107" spans="1:47" ht="9" customHeight="1" x14ac:dyDescent="0.2"/>
    <row r="108" spans="1:47" ht="9" customHeight="1" x14ac:dyDescent="0.2"/>
  </sheetData>
  <sheetProtection algorithmName="SHA-512" hashValue="LrQ7vcm0Yopt06Nk0MDxQ4JgS3S1Rt9X012RLZRqbUnKrYyp2oxygcf9BGZZsKIWO1Xnlk4aGV4Io/3+QwmE6g==" saltValue="tZ0YHzBIMlRgEPJ8uhw0MA==" spinCount="100000" sheet="1" objects="1" scenarios="1"/>
  <mergeCells count="176">
    <mergeCell ref="W96:W97"/>
    <mergeCell ref="W98:W99"/>
    <mergeCell ref="K83:Q83"/>
    <mergeCell ref="I80:J80"/>
    <mergeCell ref="B78:D78"/>
    <mergeCell ref="B72:S72"/>
    <mergeCell ref="B76:D76"/>
    <mergeCell ref="E76:R76"/>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G56:H56"/>
    <mergeCell ref="G55:H55"/>
    <mergeCell ref="D93:D95"/>
    <mergeCell ref="F93:F95"/>
    <mergeCell ref="E93:E95"/>
    <mergeCell ref="S100:S102"/>
    <mergeCell ref="H102:Q102"/>
    <mergeCell ref="D100:D102"/>
    <mergeCell ref="H100:Q100"/>
    <mergeCell ref="D98:D99"/>
    <mergeCell ref="I79:J79"/>
    <mergeCell ref="K86:Q86"/>
    <mergeCell ref="I85:J85"/>
    <mergeCell ref="I86:J86"/>
    <mergeCell ref="S98:S99"/>
    <mergeCell ref="G87:I87"/>
    <mergeCell ref="G88:J88"/>
    <mergeCell ref="I83:J83"/>
    <mergeCell ref="S93:S95"/>
    <mergeCell ref="S96:S97"/>
    <mergeCell ref="K85:Q85"/>
    <mergeCell ref="H93:H94"/>
    <mergeCell ref="C80:D80"/>
    <mergeCell ref="C58:D58"/>
    <mergeCell ref="C60:D60"/>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G51:S51"/>
    <mergeCell ref="I54:J54"/>
    <mergeCell ref="K54:L54"/>
    <mergeCell ref="AJ93:AJ95"/>
    <mergeCell ref="B73:S73"/>
    <mergeCell ref="G91:Q91"/>
    <mergeCell ref="G63:H63"/>
    <mergeCell ref="G69:H69"/>
    <mergeCell ref="G68:H68"/>
    <mergeCell ref="G67:H67"/>
    <mergeCell ref="B70:S70"/>
    <mergeCell ref="I69:L69"/>
    <mergeCell ref="N69:Q69"/>
    <mergeCell ref="B71:S71"/>
    <mergeCell ref="I63:Q63"/>
    <mergeCell ref="I68:L68"/>
    <mergeCell ref="N68:Q68"/>
    <mergeCell ref="G57:S57"/>
    <mergeCell ref="G60:Q60"/>
    <mergeCell ref="G58:Q58"/>
    <mergeCell ref="S52:S54"/>
    <mergeCell ref="I52:Q52"/>
    <mergeCell ref="I53:Q53"/>
    <mergeCell ref="M54:O54"/>
    <mergeCell ref="G52:H52"/>
    <mergeCell ref="I95:Q95"/>
    <mergeCell ref="I62:Q62"/>
    <mergeCell ref="I66:J66"/>
    <mergeCell ref="M66:O66"/>
    <mergeCell ref="L67:M67"/>
    <mergeCell ref="O67:P67"/>
    <mergeCell ref="I64:L64"/>
    <mergeCell ref="N64:Q64"/>
    <mergeCell ref="AR93:AR95"/>
    <mergeCell ref="G79:H79"/>
    <mergeCell ref="A5:S5"/>
    <mergeCell ref="C20:S24"/>
    <mergeCell ref="Q6:S6"/>
    <mergeCell ref="AR100:AR102"/>
    <mergeCell ref="E55:E57"/>
    <mergeCell ref="F55:F57"/>
    <mergeCell ref="K66:L66"/>
    <mergeCell ref="G83:H83"/>
    <mergeCell ref="R81:S88"/>
    <mergeCell ref="R53:R54"/>
    <mergeCell ref="P56:R56"/>
    <mergeCell ref="I56:O56"/>
    <mergeCell ref="C59:D59"/>
    <mergeCell ref="C61:D61"/>
    <mergeCell ref="G59:Q59"/>
    <mergeCell ref="G61:Q61"/>
    <mergeCell ref="G53:H53"/>
    <mergeCell ref="G54:H54"/>
    <mergeCell ref="R64:R66"/>
    <mergeCell ref="R67:R68"/>
    <mergeCell ref="S67:S68"/>
    <mergeCell ref="I93:Q93"/>
    <mergeCell ref="I94:Q94"/>
    <mergeCell ref="AS89:AS90"/>
    <mergeCell ref="AS93:AS95"/>
    <mergeCell ref="G62:H62"/>
    <mergeCell ref="W100:W102"/>
    <mergeCell ref="K80:S80"/>
    <mergeCell ref="C79:D79"/>
    <mergeCell ref="B74:S74"/>
    <mergeCell ref="C91:D91"/>
    <mergeCell ref="C92:D92"/>
    <mergeCell ref="G93:G94"/>
    <mergeCell ref="H101:Q101"/>
    <mergeCell ref="G100:G101"/>
    <mergeCell ref="C93:C102"/>
    <mergeCell ref="D96:D97"/>
    <mergeCell ref="W93:W95"/>
    <mergeCell ref="E98:E99"/>
    <mergeCell ref="E100:E102"/>
    <mergeCell ref="F96:F97"/>
    <mergeCell ref="E96:E97"/>
    <mergeCell ref="G78:S78"/>
    <mergeCell ref="K79:Q79"/>
    <mergeCell ref="R79:S79"/>
    <mergeCell ref="G81:Q81"/>
    <mergeCell ref="G80:H80"/>
    <mergeCell ref="G66:H66"/>
    <mergeCell ref="G65:H65"/>
    <mergeCell ref="G64:H64"/>
    <mergeCell ref="I65:L65"/>
    <mergeCell ref="N65:Q65"/>
    <mergeCell ref="B79:B88"/>
    <mergeCell ref="AS100:AS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s>
  <phoneticPr fontId="35"/>
  <conditionalFormatting sqref="E98:F98">
    <cfRule type="expression" dxfId="17" priority="88">
      <formula>#REF!=0</formula>
    </cfRule>
  </conditionalFormatting>
  <conditionalFormatting sqref="E93:H93">
    <cfRule type="expression" dxfId="16" priority="1">
      <formula>#REF!=0</formula>
    </cfRule>
  </conditionalFormatting>
  <conditionalFormatting sqref="F98">
    <cfRule type="expression" dxfId="15" priority="89">
      <formula>#REF!&gt;2</formula>
    </cfRule>
  </conditionalFormatting>
  <conditionalFormatting sqref="F100:G100 F101:F102">
    <cfRule type="expression" dxfId="14" priority="160">
      <formula>#REF!=2</formula>
    </cfRule>
  </conditionalFormatting>
  <conditionalFormatting sqref="F93:H93">
    <cfRule type="expression" dxfId="13" priority="2">
      <formula>#REF!&gt;2</formula>
    </cfRule>
  </conditionalFormatting>
  <conditionalFormatting sqref="H95">
    <cfRule type="expression" dxfId="12" priority="3">
      <formula>#REF!=0</formula>
    </cfRule>
    <cfRule type="expression" dxfId="11" priority="4">
      <formula>#REF!&gt;2</formula>
    </cfRule>
  </conditionalFormatting>
  <conditionalFormatting sqref="H100:P102">
    <cfRule type="expression" dxfId="10" priority="7">
      <formula>#REF!=0</formula>
    </cfRule>
    <cfRule type="expression" dxfId="9" priority="8">
      <formula>#REF!=2</formula>
    </cfRule>
    <cfRule type="expression" dxfId="8" priority="9">
      <formula>#REF!&gt;2</formula>
    </cfRule>
  </conditionalFormatting>
  <conditionalFormatting sqref="K83 G96:G99">
    <cfRule type="expression" dxfId="7" priority="101">
      <formula>#REF!&gt;2</formula>
    </cfRule>
  </conditionalFormatting>
  <conditionalFormatting sqref="K83">
    <cfRule type="expression" dxfId="6" priority="100">
      <formula>#REF!=0</formula>
    </cfRule>
  </conditionalFormatting>
  <conditionalFormatting sqref="K86 E91:G91 G96:G99">
    <cfRule type="expression" dxfId="5" priority="94">
      <formula>#REF!=0</formula>
    </cfRule>
  </conditionalFormatting>
  <conditionalFormatting sqref="K86">
    <cfRule type="expression" dxfId="4" priority="95">
      <formula>#REF!&gt;2</formula>
    </cfRule>
  </conditionalFormatting>
  <conditionalFormatting sqref="R91:R102 F92 E96:F96 E100:G100 E101:F101 F102">
    <cfRule type="expression" dxfId="3" priority="147">
      <formula>#REF!=0</formula>
    </cfRule>
  </conditionalFormatting>
  <conditionalFormatting sqref="R91:R102 F96 F100:G100 F101:F102">
    <cfRule type="expression" dxfId="2" priority="165">
      <formula>#REF!&gt;2</formula>
    </cfRule>
  </conditionalFormatting>
  <conditionalFormatting sqref="BF94">
    <cfRule type="expression" dxfId="1" priority="13">
      <formula>#REF!=0</formula>
    </cfRule>
    <cfRule type="expression" dxfId="0" priority="14">
      <formula>#REF!&gt;2</formula>
    </cfRule>
  </conditionalFormatting>
  <dataValidations count="7">
    <dataValidation imeMode="halfAlpha" allowBlank="1" showInputMessage="1" showErrorMessage="1" sqref="P54" xr:uid="{00000000-0002-0000-0100-000000000000}"/>
    <dataValidation type="textLength" imeMode="halfAlpha" operator="equal" allowBlank="1" showInputMessage="1" showErrorMessage="1" errorTitle="無効な入力" error="２桁で入力してください" prompt="2桁を入力してください" sqref="J67 J55" xr:uid="{00000000-0002-0000-0100-000001000000}">
      <formula1>2</formula1>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67:M67 L55:M55"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 type="list" allowBlank="1" showInputMessage="1" showErrorMessage="1" xr:uid="{1E305ADF-5BCD-437B-BF8A-2DA13BEDF64E}">
          <x14:formula1>
            <xm:f>リスト!$T$4:$T$5</xm:f>
          </x14:formula1>
          <xm:sqref>H95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2"/>
  <sheetViews>
    <sheetView topLeftCell="K1" workbookViewId="0">
      <selection activeCell="K1" sqref="K1"/>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20" x14ac:dyDescent="0.2">
      <c r="A3" s="2" t="s">
        <v>39</v>
      </c>
      <c r="B3" s="2" t="s">
        <v>33</v>
      </c>
      <c r="E3" s="2" t="s">
        <v>15</v>
      </c>
      <c r="F3" s="2" t="s">
        <v>134</v>
      </c>
      <c r="G3" s="2" t="s">
        <v>137</v>
      </c>
      <c r="H3" s="2" t="s">
        <v>121</v>
      </c>
      <c r="I3" s="2" t="s">
        <v>16</v>
      </c>
      <c r="K3" s="3" t="s">
        <v>17</v>
      </c>
      <c r="L3" s="2" t="s">
        <v>18</v>
      </c>
      <c r="M3" s="2" t="s">
        <v>19</v>
      </c>
      <c r="N3" s="2" t="s">
        <v>223</v>
      </c>
      <c r="O3" s="2" t="s">
        <v>261</v>
      </c>
      <c r="Q3" s="2" t="s">
        <v>335</v>
      </c>
      <c r="T3" s="2" t="s">
        <v>401</v>
      </c>
    </row>
    <row r="4" spans="1:20" x14ac:dyDescent="0.2">
      <c r="A4" s="2" t="s">
        <v>38</v>
      </c>
      <c r="B4" s="2" t="s">
        <v>34</v>
      </c>
      <c r="E4" s="2" t="s">
        <v>20</v>
      </c>
      <c r="F4" s="2" t="s">
        <v>304</v>
      </c>
      <c r="G4" s="2" t="s">
        <v>304</v>
      </c>
      <c r="H4" s="2" t="s">
        <v>337</v>
      </c>
      <c r="I4" s="2" t="s">
        <v>170</v>
      </c>
      <c r="K4" s="2" t="s">
        <v>196</v>
      </c>
      <c r="L4" s="2" t="s">
        <v>23</v>
      </c>
      <c r="M4" s="2" t="s">
        <v>24</v>
      </c>
      <c r="N4" s="2" t="s">
        <v>224</v>
      </c>
      <c r="O4" s="2" t="s">
        <v>330</v>
      </c>
      <c r="Q4" s="2" t="s">
        <v>333</v>
      </c>
      <c r="T4" s="2" t="s">
        <v>402</v>
      </c>
    </row>
    <row r="5" spans="1:20" x14ac:dyDescent="0.2">
      <c r="A5" s="2" t="s">
        <v>37</v>
      </c>
      <c r="B5" s="2" t="s">
        <v>35</v>
      </c>
      <c r="E5" s="2" t="s">
        <v>26</v>
      </c>
      <c r="F5" s="2" t="s">
        <v>303</v>
      </c>
      <c r="G5" s="2" t="s">
        <v>303</v>
      </c>
      <c r="H5" s="2" t="s">
        <v>122</v>
      </c>
      <c r="I5" s="2" t="s">
        <v>3</v>
      </c>
      <c r="K5" s="2" t="s">
        <v>337</v>
      </c>
      <c r="L5" s="2" t="s">
        <v>28</v>
      </c>
      <c r="M5" s="2" t="s">
        <v>337</v>
      </c>
      <c r="N5" s="2" t="s">
        <v>25</v>
      </c>
      <c r="O5" s="2" t="s">
        <v>331</v>
      </c>
      <c r="Q5" s="2" t="s">
        <v>334</v>
      </c>
      <c r="T5" s="2" t="s">
        <v>168</v>
      </c>
    </row>
    <row r="6" spans="1:20" x14ac:dyDescent="0.2">
      <c r="A6" s="2" t="s">
        <v>302</v>
      </c>
      <c r="B6" s="2" t="s">
        <v>4</v>
      </c>
      <c r="E6" s="2" t="s">
        <v>29</v>
      </c>
      <c r="F6" s="2" t="s">
        <v>135</v>
      </c>
      <c r="G6" s="2" t="s">
        <v>199</v>
      </c>
      <c r="H6" s="2" t="s">
        <v>123</v>
      </c>
      <c r="I6" s="2" t="s">
        <v>337</v>
      </c>
      <c r="L6" s="2" t="s">
        <v>337</v>
      </c>
      <c r="N6" s="2" t="s">
        <v>3</v>
      </c>
      <c r="O6" s="2" t="s">
        <v>337</v>
      </c>
      <c r="Q6" s="2" t="s">
        <v>337</v>
      </c>
    </row>
    <row r="7" spans="1:20" x14ac:dyDescent="0.2">
      <c r="B7" s="2" t="s">
        <v>36</v>
      </c>
      <c r="E7" s="2" t="s">
        <v>337</v>
      </c>
      <c r="F7" s="2" t="s">
        <v>337</v>
      </c>
      <c r="H7" s="2" t="s">
        <v>174</v>
      </c>
      <c r="N7" s="2" t="s">
        <v>337</v>
      </c>
    </row>
    <row r="8" spans="1:20" x14ac:dyDescent="0.2">
      <c r="H8" s="2" t="s">
        <v>175</v>
      </c>
    </row>
    <row r="9" spans="1:20" x14ac:dyDescent="0.2">
      <c r="H9" s="2" t="s">
        <v>176</v>
      </c>
      <c r="K9" s="2" t="s">
        <v>197</v>
      </c>
    </row>
    <row r="10" spans="1:20" x14ac:dyDescent="0.2">
      <c r="H10" s="2" t="s">
        <v>177</v>
      </c>
      <c r="K10" s="2" t="s">
        <v>198</v>
      </c>
    </row>
    <row r="11" spans="1:20" x14ac:dyDescent="0.2">
      <c r="H11" s="2" t="s">
        <v>178</v>
      </c>
      <c r="K11" s="2" t="s">
        <v>200</v>
      </c>
    </row>
    <row r="12" spans="1:20" x14ac:dyDescent="0.2">
      <c r="H12" s="2" t="s">
        <v>179</v>
      </c>
      <c r="K12" s="2" t="s">
        <v>337</v>
      </c>
    </row>
    <row r="13" spans="1:20" x14ac:dyDescent="0.2">
      <c r="H13" s="2" t="s">
        <v>180</v>
      </c>
    </row>
    <row r="14" spans="1:20" x14ac:dyDescent="0.2">
      <c r="H14" s="2" t="s">
        <v>181</v>
      </c>
    </row>
    <row r="15" spans="1:20" x14ac:dyDescent="0.2">
      <c r="H15" s="2" t="s">
        <v>182</v>
      </c>
    </row>
    <row r="16" spans="1:20"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BPztYZkVX5FU0eR8O/eZEOqmfNZ3eDoexl1q1F86ihqX4il8cX3yN3kGA3vNmH5KIPGxL/XRnifLtCj6/eH+KA==" saltValue="Y//tAHrcxbbAU+b+holPrw=="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285</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337</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337</v>
      </c>
      <c r="F64" s="1" t="s">
        <v>338</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横井 智成</cp:lastModifiedBy>
  <cp:lastPrinted>2026-03-02T02:50:55Z</cp:lastPrinted>
  <dcterms:created xsi:type="dcterms:W3CDTF">2018-06-11T09:00:18Z</dcterms:created>
  <dcterms:modified xsi:type="dcterms:W3CDTF">2026-03-30T00:47:38Z</dcterms:modified>
</cp:coreProperties>
</file>