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6自治会館受変電設備改修工事\02_公告\"/>
    </mc:Choice>
  </mc:AlternateContent>
  <bookViews>
    <workbookView xWindow="0" yWindow="0" windowWidth="23040" windowHeight="9096" tabRatio="763" activeTab="1"/>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U93" i="2" l="1"/>
  <c r="AV93" i="2" l="1"/>
  <c r="AU101" i="2" l="1"/>
  <c r="AV101" i="2" s="1"/>
  <c r="AA78" i="2"/>
  <c r="AA77" i="2"/>
  <c r="V76" i="2"/>
  <c r="W55" i="2"/>
  <c r="AB78" i="2" l="1"/>
  <c r="W78" i="2"/>
  <c r="X78" i="2" s="1"/>
  <c r="W77" i="2"/>
  <c r="X77" i="2" s="1"/>
  <c r="AB77" i="2"/>
  <c r="AQ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F55" i="2" s="1"/>
  <c r="AP56" i="2" l="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Q81" i="2" l="1"/>
  <c r="F79" i="2" s="1"/>
  <c r="AP90" i="2"/>
  <c r="AP91" i="2"/>
  <c r="AP95" i="2"/>
  <c r="AP98" i="2"/>
  <c r="AP92" i="2"/>
  <c r="AP97" i="2"/>
  <c r="AP94" i="2"/>
  <c r="AP93" i="2"/>
  <c r="AP96" i="2"/>
  <c r="E52" i="2" l="1"/>
  <c r="E55" i="2"/>
  <c r="E62" i="2"/>
  <c r="E91" i="2"/>
  <c r="E90" i="2"/>
  <c r="E95" i="2"/>
  <c r="E97" i="2"/>
  <c r="AN94" i="2" l="1"/>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S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O96" i="2" s="1"/>
  <c r="AM90" i="2"/>
  <c r="AD101" i="2"/>
  <c r="AL93" i="2" l="1"/>
  <c r="AK93" i="2"/>
  <c r="AN93" i="2" s="1"/>
  <c r="AM93" i="2"/>
  <c r="AO93" i="2" s="1"/>
  <c r="AM94" i="2"/>
  <c r="AK94" i="2"/>
  <c r="AL94" i="2"/>
  <c r="AO97" i="2"/>
  <c r="AO92" i="2"/>
  <c r="AL101" i="2"/>
  <c r="AK101" i="2"/>
  <c r="AM101" i="2"/>
  <c r="AO101" i="2" s="1"/>
  <c r="AL100" i="2"/>
  <c r="AK100" i="2"/>
  <c r="AM100" i="2"/>
  <c r="AO95" i="2"/>
  <c r="AO91" i="2"/>
  <c r="AO90" i="2"/>
  <c r="AO98" i="2"/>
  <c r="F95" i="2"/>
  <c r="AN98" i="2"/>
  <c r="AW81" i="2"/>
  <c r="AN95" i="2"/>
  <c r="AN92" i="2"/>
  <c r="AN97" i="2"/>
  <c r="AN96" i="2"/>
  <c r="AN91" i="2"/>
  <c r="AS82" i="2"/>
  <c r="AS84" i="2"/>
  <c r="AS83" i="2"/>
  <c r="AO94" i="2" l="1"/>
  <c r="AO100" i="2"/>
  <c r="AQ99" i="2" s="1"/>
  <c r="AQ91" i="2"/>
  <c r="F91" i="2" s="1"/>
  <c r="AQ97" i="2"/>
  <c r="F97" i="2" s="1"/>
  <c r="AS85" i="2"/>
  <c r="AS89" i="2" s="1"/>
  <c r="AQ95" i="2"/>
  <c r="AQ92" i="2"/>
  <c r="AS99" i="2" l="1"/>
  <c r="AT92" i="2"/>
  <c r="AS92" i="2"/>
  <c r="AT99" i="2"/>
  <c r="AR97" i="2"/>
  <c r="AR95" i="2"/>
  <c r="AR92" i="2"/>
  <c r="AR99" i="2"/>
  <c r="AU92" i="2" l="1"/>
  <c r="F92" i="2"/>
  <c r="AU99" i="2"/>
  <c r="F99" i="2" s="1"/>
  <c r="AG83" i="2"/>
  <c r="AW82" i="2" s="1"/>
  <c r="AW83" i="2" s="1"/>
  <c r="AQ90" i="2" s="1"/>
  <c r="AG81" i="2" l="1"/>
  <c r="W86" i="2" s="1"/>
  <c r="X86" i="2" l="1"/>
  <c r="AH81" i="2"/>
  <c r="W87" i="2" s="1"/>
  <c r="K86" i="2" s="1"/>
  <c r="AP86" i="2"/>
  <c r="AP87" i="2"/>
  <c r="AP85" i="2"/>
  <c r="AT81" i="2"/>
  <c r="AT84" i="2"/>
  <c r="AT83" i="2"/>
  <c r="AT82" i="2"/>
  <c r="X87" i="2" l="1"/>
  <c r="K87" i="2" s="1"/>
  <c r="AQ87" i="2"/>
  <c r="F80" i="2" s="1"/>
  <c r="V47" i="2" s="1"/>
  <c r="D23" i="5" s="1"/>
  <c r="AT85" i="2"/>
  <c r="AT86" i="2" l="1"/>
  <c r="AT87" i="2" s="1"/>
</calcChain>
</file>

<file path=xl/sharedStrings.xml><?xml version="1.0" encoding="utf-8"?>
<sst xmlns="http://schemas.openxmlformats.org/spreadsheetml/2006/main" count="698" uniqueCount="394">
  <si>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</si>
  <si>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</si>
  <si>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</si>
  <si>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</si>
  <si>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</si>
  <si>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</si>
  <si>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</si>
  <si>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</si>
  <si>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</si>
  <si>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</si>
  <si>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</si>
  <si>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</si>
  <si>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</si>
  <si>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</si>
  <si>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</si>
  <si>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</si>
  <si>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</si>
  <si>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</si>
  <si>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</si>
  <si>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</si>
  <si>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</si>
  <si>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</si>
  <si>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</si>
  <si>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</si>
  <si>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</si>
  <si>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</si>
  <si>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</si>
  <si>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</si>
  <si>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</si>
  <si>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</si>
  <si>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</si>
  <si>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</si>
  <si>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</si>
  <si>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</si>
  <si>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</si>
  <si>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</si>
  <si>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</si>
  <si>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</si>
  <si>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</si>
  <si>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</si>
  <si>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</si>
  <si>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</si>
  <si>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</si>
  <si>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</si>
  <si>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</si>
  <si>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</si>
  <si>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</si>
  <si>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</si>
  <si>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</si>
  <si>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</si>
  <si>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</si>
  <si>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</si>
  <si>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</si>
  <si>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</si>
  <si>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</si>
  <si>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</si>
  <si>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</si>
  <si>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</si>
  <si>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</si>
  <si>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</si>
  <si>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</si>
  <si>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</si>
  <si>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</si>
  <si>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</si>
  <si>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</si>
  <si>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</si>
  <si>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</si>
  <si>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</si>
  <si>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</si>
  <si>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</si>
  <si>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</si>
  <si>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</si>
  <si>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</si>
  <si>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</si>
  <si>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</si>
  <si>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</si>
  <si>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</si>
  <si>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</si>
  <si>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</si>
  <si>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</si>
  <si>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</si>
  <si>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</si>
  <si>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</si>
  <si>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</si>
  <si>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</si>
  <si>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</si>
  <si>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</si>
  <si>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</si>
  <si>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</si>
  <si>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</si>
  <si>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</si>
  <si>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</si>
  <si>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</si>
  <si>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</si>
  <si>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</si>
  <si>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</si>
  <si>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</si>
  <si>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</si>
  <si>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</si>
  <si>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</si>
  <si>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</si>
  <si>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</si>
  <si>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</si>
  <si>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</si>
  <si>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</si>
  <si>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</si>
  <si>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</si>
  <si>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</si>
  <si>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</si>
  <si>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</si>
  <si>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</si>
  <si>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</si>
  <si>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</si>
  <si>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</si>
  <si>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</si>
  <si>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</si>
  <si>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</si>
  <si>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</si>
  <si>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</si>
  <si>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</si>
  <si>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</si>
  <si>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</si>
  <si>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</si>
  <si>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</si>
  <si>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</si>
  <si>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</si>
  <si>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</si>
  <si>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</si>
  <si>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</si>
  <si>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</si>
  <si>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</si>
  <si>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</si>
  <si>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</si>
  <si>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</si>
  <si>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</si>
  <si>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</si>
  <si>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</si>
  <si>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</si>
  <si>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</si>
  <si>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</si>
  <si>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</si>
  <si>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</si>
  <si>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</si>
  <si>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</si>
  <si>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</si>
  <si>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</si>
  <si>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</si>
  <si>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</si>
  <si>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</si>
  <si>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</si>
  <si>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</si>
  <si>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</si>
  <si>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</si>
  <si>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</si>
  <si>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</si>
  <si>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</si>
  <si>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</si>
  <si>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</si>
  <si>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</si>
  <si>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</si>
  <si>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</si>
  <si>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</si>
  <si>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</si>
  <si>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</si>
  <si>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</si>
  <si>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</si>
  <si>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</si>
  <si>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</si>
  <si>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</si>
  <si>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</si>
  <si>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</si>
  <si>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</si>
  <si>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</si>
  <si>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</si>
  <si>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</si>
  <si>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</si>
  <si>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</si>
  <si>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</si>
  <si>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</si>
  <si>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</si>
  <si>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</si>
  <si>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</si>
  <si>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</si>
  <si>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</si>
  <si>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</si>
  <si>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</si>
  <si>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</si>
  <si>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</si>
  <si>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</si>
  <si>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</si>
  <si>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</si>
  <si>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</si>
  <si>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</si>
  <si>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</si>
  <si>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</si>
  <si>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</si>
  <si>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</si>
  <si>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</si>
  <si>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</si>
  <si>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</si>
  <si>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</si>
  <si>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</si>
  <si>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</si>
  <si>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</si>
  <si>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</si>
  <si>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</si>
  <si>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</si>
  <si>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</si>
  <si>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</si>
  <si>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</si>
  <si>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</si>
  <si>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</si>
  <si>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</si>
  <si>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</si>
  <si>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</si>
  <si>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</si>
  <si>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</si>
  <si>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</si>
  <si>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</si>
  <si>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</si>
  <si>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</si>
  <si>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</si>
  <si>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</si>
  <si>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</si>
  <si>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</si>
  <si>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</si>
  <si>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</si>
  <si>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</si>
  <si>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</si>
  <si>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</si>
  <si>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</si>
  <si>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</si>
  <si>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</si>
  <si>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</si>
  <si>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</si>
  <si>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</si>
  <si>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</si>
  <si>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</si>
  <si>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</si>
  <si>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</si>
  <si>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</si>
  <si>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</si>
  <si>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</si>
  <si>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</si>
  <si>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</si>
  <si>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</si>
  <si>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</si>
  <si>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</si>
  <si>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</si>
  <si>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</si>
  <si>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</si>
  <si>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</si>
  <si>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</si>
  <si>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</si>
  <si>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</si>
  <si>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</si>
  <si>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</si>
  <si>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</si>
  <si>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</si>
  <si>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</si>
  <si>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</si>
  <si>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</si>
  <si>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</si>
  <si>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</si>
  <si>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</si>
  <si>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</si>
  <si>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</si>
  <si>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</si>
  <si>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</si>
  <si>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</si>
  <si>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</si>
  <si>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</si>
  <si>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</si>
  <si>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</si>
  <si>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</si>
  <si>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</si>
  <si>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</si>
  <si>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</si>
  <si>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</si>
  <si>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</si>
  <si>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</si>
  <si>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</si>
  <si>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</si>
  <si>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</si>
  <si>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</si>
  <si>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</si>
  <si>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</si>
  <si>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</si>
  <si>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</si>
  <si>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</si>
  <si>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</si>
  <si>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</si>
  <si>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</si>
  <si>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</si>
  <si>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</si>
  <si>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</si>
  <si>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</si>
  <si>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</si>
  <si>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</si>
  <si>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</si>
  <si>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</si>
  <si>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</si>
  <si>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</si>
  <si>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</si>
  <si>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</si>
  <si>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</si>
  <si>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</si>
  <si>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</si>
  <si>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</si>
  <si>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</si>
  <si>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</si>
  <si>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</si>
  <si>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</si>
  <si>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</si>
  <si>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</si>
  <si>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</si>
  <si>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</si>
  <si>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</si>
  <si>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</si>
  <si>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</si>
  <si>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</si>
  <si>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</si>
  <si>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</si>
  <si>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</si>
  <si>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</si>
  <si>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</si>
  <si>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</si>
  <si>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</si>
  <si>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</si>
  <si>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</si>
  <si>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</si>
  <si>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</si>
  <si>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</si>
  <si>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</si>
  <si>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t>【上位点】過去3年以内における災害時の出動実績があり、かつ国・県・市町村のいずれかと災害時の応援協定を締結している場合。※活動場所は、災害時出動実績のある市町村を選択する。</t>
    <phoneticPr fontId="34"/>
  </si>
  <si>
    <t>【中位点】過去3年以内における災害時の出動実績がある場合。</t>
    <phoneticPr fontId="34"/>
  </si>
  <si>
    <t>【下位点】国・県・市町村のいずれかと災害時の応援協定を締結している場合。※活動場所は、協定の範囲内で、工事箇所に最も近い市町村を選択する。</t>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</si>
  <si>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</si>
  <si>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</si>
  <si>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</si>
  <si>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</si>
  <si>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</si>
  <si>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</si>
  <si>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</si>
  <si>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</si>
  <si>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</si>
  <si>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</si>
  <si>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</si>
  <si>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</si>
  <si>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</si>
  <si>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</si>
  <si>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</si>
  <si>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</si>
  <si>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</si>
  <si>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</si>
  <si>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</si>
  <si>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</si>
  <si>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</si>
  <si>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</si>
  <si>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</si>
  <si>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</si>
  <si>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</si>
  <si>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</si>
  <si>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</si>
  <si>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</si>
  <si>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</si>
  <si>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</si>
  <si>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</si>
  <si>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</si>
  <si>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</si>
  <si>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</si>
  <si>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</si>
  <si>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</si>
  <si>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</si>
  <si>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</si>
  <si>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</si>
  <si>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</si>
  <si>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</si>
  <si>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</si>
  <si>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</si>
  <si>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</si>
  <si>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</si>
  <si>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</si>
  <si>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</si>
  <si>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</si>
  <si>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</si>
  <si>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
（G94セル）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</si>
  <si>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</si>
  <si>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</si>
  <si>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</si>
  <si>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</si>
  <si>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4"/>
  </si>
  <si>
    <t xml:space="preserve">第25-01135-0006号 </t>
    <rPh sb="0" eb="1">
      <t>ダイ</t>
    </rPh>
    <rPh sb="14" eb="15">
      <t>ゴウ</t>
    </rPh>
    <phoneticPr fontId="34"/>
  </si>
  <si>
    <t>自治会館受変電設備改修工事</t>
    <rPh sb="0" eb="13">
      <t>ジチカイカンジュヘンデンセツビカイシュウコウジ</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</si>
</sst>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sz val="10.5"/>
      <name val="ＭＳ Ｐ明朝"/>
      <family val="1"/>
      <charset val="128"/>
    </font>
    <font>
      <sz val="9"/>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94">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40" fillId="0" borderId="0" xfId="0" applyFont="1" applyAlignment="1">
      <alignment horizontal="righ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9" xfId="0" applyFont="1" applyBorder="1" applyAlignment="1">
      <alignment horizontal="center" vertical="center" shrinkToFit="1"/>
    </xf>
    <xf numFmtId="0" fontId="19" fillId="0" borderId="100" xfId="0" applyFont="1" applyBorder="1" applyAlignment="1">
      <alignment horizontal="right" vertical="center" shrinkToFit="1"/>
    </xf>
    <xf numFmtId="0" fontId="19" fillId="0" borderId="101" xfId="0" applyFont="1" applyBorder="1" applyAlignment="1">
      <alignment horizontal="right" vertical="center" shrinkToFit="1"/>
    </xf>
    <xf numFmtId="177" fontId="19" fillId="0" borderId="102"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3" xfId="0" applyFont="1" applyBorder="1" applyAlignment="1">
      <alignment horizontal="center" vertical="center" shrinkToFit="1"/>
    </xf>
    <xf numFmtId="0" fontId="19" fillId="0" borderId="104"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5"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7"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8"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10" xfId="0" applyFont="1" applyBorder="1" applyAlignment="1">
      <alignment horizontal="center" vertical="center"/>
    </xf>
    <xf numFmtId="0" fontId="19" fillId="0" borderId="76" xfId="0" applyFont="1" applyBorder="1" applyAlignment="1">
      <alignment horizontal="center" vertical="center"/>
    </xf>
    <xf numFmtId="0" fontId="19" fillId="0" borderId="101" xfId="0" applyFont="1" applyBorder="1">
      <alignment vertical="center"/>
    </xf>
    <xf numFmtId="0" fontId="19" fillId="0" borderId="106" xfId="0" applyFont="1" applyBorder="1">
      <alignment vertical="center"/>
    </xf>
    <xf numFmtId="0" fontId="19" fillId="0" borderId="100" xfId="0" applyFont="1" applyBorder="1">
      <alignment vertical="center"/>
    </xf>
    <xf numFmtId="0" fontId="19" fillId="0" borderId="99"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1" xfId="0" applyFont="1" applyBorder="1" applyAlignment="1">
      <alignment horizontal="center" vertical="center" shrinkToFit="1"/>
    </xf>
    <xf numFmtId="0" fontId="19" fillId="0" borderId="13" xfId="0" applyFont="1" applyBorder="1" applyAlignment="1">
      <alignment horizontal="right" vertical="center"/>
    </xf>
    <xf numFmtId="0" fontId="19" fillId="0" borderId="112" xfId="0" applyFont="1" applyBorder="1" applyAlignment="1">
      <alignment horizontal="right" vertical="center"/>
    </xf>
    <xf numFmtId="0" fontId="19" fillId="0" borderId="113" xfId="0" applyFont="1" applyBorder="1" applyAlignment="1">
      <alignment horizontal="center" vertical="center"/>
    </xf>
    <xf numFmtId="0" fontId="19" fillId="0" borderId="36" xfId="0" applyFont="1" applyBorder="1" applyAlignment="1">
      <alignment horizontal="right" vertical="center"/>
    </xf>
    <xf numFmtId="178" fontId="76" fillId="0" borderId="0" xfId="0" applyNumberFormat="1" applyFont="1" applyAlignment="1">
      <alignment horizontal="right" vertical="top"/>
    </xf>
    <xf numFmtId="0" fontId="26" fillId="35" borderId="28" xfId="0" applyFont="1" applyFill="1" applyBorder="1" applyAlignment="1" applyProtection="1">
      <alignment horizontal="center" vertical="center" wrapText="1"/>
      <protection locked="0"/>
    </xf>
    <xf numFmtId="0" fontId="26" fillId="35" borderId="96"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0" fontId="58" fillId="0" borderId="0" xfId="0" applyFont="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24" xfId="0" applyFont="1" applyBorder="1" applyAlignment="1">
      <alignment horizontal="center" vertical="center"/>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21" xfId="0" applyFont="1" applyBorder="1" applyAlignment="1">
      <alignment horizontal="left"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12" xfId="0" applyFont="1" applyBorder="1" applyAlignment="1">
      <alignment horizontal="left" vertical="center" wrapText="1"/>
    </xf>
    <xf numFmtId="0" fontId="29" fillId="0" borderId="52" xfId="0" applyFont="1" applyBorder="1" applyAlignment="1">
      <alignment horizontal="left" vertical="center" wrapText="1"/>
    </xf>
    <xf numFmtId="0" fontId="24" fillId="0" borderId="12" xfId="0" applyFont="1" applyBorder="1" applyAlignment="1">
      <alignment horizontal="left" vertical="center" wrapText="1"/>
    </xf>
    <xf numFmtId="0" fontId="24"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6" fillId="0" borderId="12" xfId="0" applyFont="1" applyBorder="1" applyAlignment="1">
      <alignment horizontal="left" vertical="center" wrapText="1"/>
    </xf>
    <xf numFmtId="0" fontId="26" fillId="0" borderId="52" xfId="0" applyFont="1" applyBorder="1" applyAlignment="1">
      <alignment horizontal="left" vertical="center" wrapText="1"/>
    </xf>
    <xf numFmtId="0" fontId="54" fillId="0" borderId="12" xfId="0" applyFont="1" applyBorder="1" applyAlignment="1">
      <alignment horizontal="left" vertical="center" wrapText="1"/>
    </xf>
    <xf numFmtId="0" fontId="54" fillId="0" borderId="52" xfId="0"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0" fontId="24" fillId="0" borderId="0" xfId="0" applyFont="1" applyAlignment="1">
      <alignment horizontal="left" vertical="center" shrinkToFit="1"/>
    </xf>
    <xf numFmtId="0" fontId="54" fillId="0" borderId="0" xfId="0" applyFont="1" applyAlignment="1">
      <alignment horizontal="justify" vertical="top" wrapText="1"/>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26" fillId="0" borderId="24" xfId="0" applyFont="1" applyBorder="1" applyAlignment="1">
      <alignment horizontal="left" vertical="center" wrapText="1"/>
    </xf>
    <xf numFmtId="0" fontId="54" fillId="0" borderId="24"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3" fillId="0" borderId="52" xfId="0" applyFont="1" applyBorder="1" applyAlignment="1">
      <alignment horizontal="left" vertical="center" wrapText="1"/>
    </xf>
    <xf numFmtId="183" fontId="29" fillId="35" borderId="30" xfId="0" applyNumberFormat="1" applyFont="1" applyFill="1" applyBorder="1" applyAlignment="1" applyProtection="1">
      <alignment horizontal="center" vertical="center" wrapText="1"/>
      <protection locked="0"/>
    </xf>
    <xf numFmtId="183" fontId="29" fillId="35" borderId="54" xfId="0" applyNumberFormat="1" applyFont="1" applyFill="1" applyBorder="1" applyAlignment="1" applyProtection="1">
      <alignment horizontal="center" vertical="center" wrapText="1"/>
      <protection locked="0"/>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4" fillId="0" borderId="0" xfId="0" applyFont="1" applyAlignment="1">
      <alignment horizontal="justify"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183" fontId="29" fillId="35" borderId="31" xfId="0" applyNumberFormat="1" applyFont="1" applyFill="1" applyBorder="1" applyAlignment="1" applyProtection="1">
      <alignment horizontal="center" vertical="center" wrapText="1"/>
      <protection locked="0"/>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0" xfId="0" applyFont="1" applyBorder="1" applyAlignment="1">
      <alignment horizontal="center" vertical="center" textRotation="255"/>
    </xf>
    <xf numFmtId="0" fontId="22" fillId="0" borderId="10"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4" fillId="0" borderId="11"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77" fillId="0" borderId="18" xfId="0" applyFont="1" applyBorder="1" applyAlignment="1">
      <alignment horizontal="left" wrapText="1"/>
    </xf>
    <xf numFmtId="0" fontId="77" fillId="0" borderId="19" xfId="0" applyFont="1" applyBorder="1" applyAlignment="1">
      <alignment horizontal="left" wrapText="1"/>
    </xf>
    <xf numFmtId="0" fontId="77" fillId="0" borderId="61" xfId="0" applyFont="1" applyBorder="1" applyAlignment="1">
      <alignment horizontal="left" wrapText="1"/>
    </xf>
    <xf numFmtId="0" fontId="54" fillId="0" borderId="97"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10"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77" fontId="26" fillId="0" borderId="9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right"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36" fillId="0" borderId="25"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49" fontId="26" fillId="35" borderId="69" xfId="0" quotePrefix="1" applyNumberFormat="1" applyFont="1" applyFill="1" applyBorder="1" applyAlignment="1" applyProtection="1">
      <alignment horizontal="center" vertical="center" shrinkToFit="1"/>
      <protection locked="0"/>
    </xf>
    <xf numFmtId="49" fontId="26" fillId="35" borderId="98" xfId="0" applyNumberFormat="1" applyFont="1" applyFill="1" applyBorder="1" applyAlignment="1" applyProtection="1">
      <alignment horizontal="center" vertical="center" shrinkToFit="1"/>
      <protection locked="0"/>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49" fontId="26" fillId="35" borderId="69" xfId="0" applyNumberFormat="1" applyFont="1" applyFill="1" applyBorder="1" applyAlignment="1" applyProtection="1">
      <alignment horizontal="center" vertical="center" shrinkToFit="1"/>
      <protection locked="0"/>
    </xf>
    <xf numFmtId="177" fontId="26" fillId="33" borderId="19" xfId="0" applyNumberFormat="1" applyFont="1" applyFill="1" applyBorder="1" applyAlignment="1">
      <alignment horizontal="center" vertical="center" wrapText="1"/>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09"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0" xfId="0" applyFont="1" applyAlignment="1">
      <alignment horizontal="left" vertical="top"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0" fontId="24" fillId="0" borderId="24" xfId="0" applyFont="1" applyBorder="1" applyAlignment="1">
      <alignment horizontal="left" vertical="center" wrapText="1"/>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693420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792480</xdr:colOff>
          <xdr:row>5</xdr:row>
          <xdr:rowOff>327660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99060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1760220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121920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327660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J28"/>
  <sheetViews>
    <sheetView showGridLines="0" view="pageBreakPreview" zoomScale="60" zoomScaleNormal="60" workbookViewId="0">
      <selection activeCell="F18" sqref="F18:F19"/>
    </sheetView>
  </sheetViews>
  <sheetFormatPr defaultColWidth="8.88671875" defaultRowHeight="13.2" x14ac:dyDescent="0.2"/>
  <cols>
    <col min="1" max="2" width="2" style="67" customWidth="1"/>
    <col min="3" max="3" width="29.77734375" style="67" customWidth="1"/>
    <col min="4" max="5" width="22.33203125" style="67" customWidth="1"/>
    <col min="6" max="6" width="41.77734375" style="67" customWidth="1"/>
    <col min="7" max="7" width="10.44140625" style="67" customWidth="1"/>
    <col min="8" max="8" width="39.44140625" style="67" customWidth="1"/>
    <col min="9" max="9" width="15.109375" style="67" customWidth="1"/>
    <col min="10" max="10" width="17.21875" style="67" customWidth="1"/>
    <col min="11" max="11" width="13.33203125" style="67" customWidth="1"/>
    <col min="12" max="12" width="15.33203125" style="67" customWidth="1"/>
    <col min="13" max="14" width="9.88671875" style="67" customWidth="1"/>
    <col min="15" max="15" width="27.44140625" style="67" customWidth="1"/>
    <col min="16" max="16" width="8.88671875" style="67"/>
    <col min="17" max="17" width="16.88671875" style="67" bestFit="1" customWidth="1"/>
    <col min="18" max="16384" width="8.88671875" style="67"/>
  </cols>
  <sheetData>
    <row r="1" spans="3:10" ht="19.95" customHeight="1" x14ac:dyDescent="0.2">
      <c r="C1" s="277" t="s">
        <v>272</v>
      </c>
      <c r="D1" s="277"/>
      <c r="E1" s="277"/>
      <c r="F1" s="277"/>
      <c r="H1" s="67" t="s">
        <v>391</v>
      </c>
    </row>
    <row r="2" spans="3:10" ht="19.95" customHeight="1" x14ac:dyDescent="0.2">
      <c r="C2" s="140" t="s">
        <v>296</v>
      </c>
    </row>
    <row r="3" spans="3:10" ht="19.95" customHeight="1" x14ac:dyDescent="0.2">
      <c r="C3" s="141" t="s">
        <v>318</v>
      </c>
    </row>
    <row r="4" spans="3:10" ht="30" customHeight="1" x14ac:dyDescent="0.2">
      <c r="C4" s="142" t="s">
        <v>297</v>
      </c>
      <c r="D4" s="282" t="s">
        <v>321</v>
      </c>
      <c r="E4" s="283"/>
      <c r="F4" s="142" t="s">
        <v>298</v>
      </c>
      <c r="H4" s="160" t="s">
        <v>319</v>
      </c>
    </row>
    <row r="5" spans="3:10" ht="30" customHeight="1" x14ac:dyDescent="0.2">
      <c r="C5" s="135" t="s">
        <v>299</v>
      </c>
      <c r="D5" s="278" t="s">
        <v>312</v>
      </c>
      <c r="E5" s="279"/>
      <c r="F5" s="143"/>
      <c r="H5" s="127" t="str">
        <f>D5</f>
        <v>令和○年○月○日</v>
      </c>
    </row>
    <row r="6" spans="3:10" ht="30" customHeight="1" x14ac:dyDescent="0.2">
      <c r="C6" s="135" t="s">
        <v>293</v>
      </c>
      <c r="D6" s="290" t="s">
        <v>313</v>
      </c>
      <c r="E6" s="291"/>
      <c r="F6" s="135"/>
      <c r="H6" s="128" t="str">
        <f t="shared" ref="H6:H9" si="0">D6</f>
        <v>○○市○○町○○番地</v>
      </c>
    </row>
    <row r="7" spans="3:10" ht="30" customHeight="1" x14ac:dyDescent="0.2">
      <c r="C7" s="135" t="s">
        <v>294</v>
      </c>
      <c r="D7" s="292" t="s">
        <v>314</v>
      </c>
      <c r="E7" s="293"/>
      <c r="F7" s="135"/>
      <c r="H7" s="128" t="str">
        <f t="shared" si="0"/>
        <v>株式会社○○○○</v>
      </c>
    </row>
    <row r="8" spans="3:10" ht="30" customHeight="1" x14ac:dyDescent="0.2">
      <c r="C8" s="135" t="s">
        <v>300</v>
      </c>
      <c r="D8" s="290" t="s">
        <v>315</v>
      </c>
      <c r="E8" s="291"/>
      <c r="F8" s="135"/>
      <c r="H8" s="128" t="str">
        <f t="shared" si="0"/>
        <v>代表取締役　○○○○</v>
      </c>
    </row>
    <row r="9" spans="3:10" ht="30" customHeight="1" x14ac:dyDescent="0.2">
      <c r="C9" s="135" t="s">
        <v>301</v>
      </c>
      <c r="D9" s="290" t="s">
        <v>316</v>
      </c>
      <c r="E9" s="291"/>
      <c r="F9" s="135"/>
      <c r="H9" s="128" t="str">
        <f t="shared" si="0"/>
        <v>000-000-0000</v>
      </c>
    </row>
    <row r="10" spans="3:10" ht="30" customHeight="1" x14ac:dyDescent="0.2">
      <c r="C10" s="135" t="s">
        <v>302</v>
      </c>
      <c r="D10" s="290" t="s">
        <v>317</v>
      </c>
      <c r="E10" s="291"/>
      <c r="F10" s="135"/>
      <c r="H10" s="128" t="str">
        <f>D10</f>
        <v>○○○○</v>
      </c>
    </row>
    <row r="11" spans="3:10" ht="30" customHeight="1" x14ac:dyDescent="0.2">
      <c r="C11" s="135"/>
      <c r="D11" s="290"/>
      <c r="E11" s="291"/>
      <c r="F11" s="206"/>
      <c r="H11" s="128">
        <f>D11</f>
        <v>0</v>
      </c>
    </row>
    <row r="12" spans="3:10" ht="30" customHeight="1" x14ac:dyDescent="0.2">
      <c r="C12" s="142" t="s">
        <v>303</v>
      </c>
      <c r="D12" s="282" t="s">
        <v>322</v>
      </c>
      <c r="E12" s="283"/>
      <c r="F12" s="142" t="s">
        <v>136</v>
      </c>
      <c r="H12" s="160" t="s">
        <v>320</v>
      </c>
    </row>
    <row r="13" spans="3:10" ht="30" customHeight="1" x14ac:dyDescent="0.2">
      <c r="C13" s="125" t="s">
        <v>135</v>
      </c>
      <c r="D13" s="278">
        <v>45825</v>
      </c>
      <c r="E13" s="279"/>
      <c r="F13" s="134" t="s">
        <v>381</v>
      </c>
      <c r="G13" s="126"/>
      <c r="H13" s="127">
        <f>D13</f>
        <v>45825</v>
      </c>
      <c r="I13" s="73"/>
      <c r="J13" s="73"/>
    </row>
    <row r="14" spans="3:10" ht="30" customHeight="1" x14ac:dyDescent="0.2">
      <c r="C14" s="125" t="s">
        <v>133</v>
      </c>
      <c r="D14" s="280" t="s">
        <v>392</v>
      </c>
      <c r="E14" s="281"/>
      <c r="F14" s="134" t="s">
        <v>380</v>
      </c>
      <c r="G14" s="126"/>
      <c r="H14" s="128" t="str">
        <f t="shared" ref="H14:H15" si="1">D14</f>
        <v xml:space="preserve">第25-01135-0006号 </v>
      </c>
      <c r="I14" s="73"/>
      <c r="J14" s="73"/>
    </row>
    <row r="15" spans="3:10" ht="30" customHeight="1" x14ac:dyDescent="0.2">
      <c r="C15" s="131" t="s">
        <v>134</v>
      </c>
      <c r="D15" s="286" t="s">
        <v>393</v>
      </c>
      <c r="E15" s="287"/>
      <c r="F15" s="128" t="s">
        <v>379</v>
      </c>
      <c r="G15" s="126"/>
      <c r="H15" s="128" t="str">
        <f t="shared" si="1"/>
        <v>自治会館受変電設備改修工事</v>
      </c>
      <c r="I15" s="73"/>
      <c r="J15" s="73"/>
    </row>
    <row r="16" spans="3:10" ht="30" customHeight="1" x14ac:dyDescent="0.2">
      <c r="C16" s="129" t="s">
        <v>243</v>
      </c>
      <c r="D16" s="284" t="s">
        <v>179</v>
      </c>
      <c r="E16" s="285"/>
      <c r="F16" s="161" t="s">
        <v>139</v>
      </c>
      <c r="H16" s="130">
        <f>IF(OR(D16="一般土木工事",D16="舗装工事"),1,IF(OR(D16="建築工事",D16="電気設備工事",D16="暖冷房衛生設備工事"),2,10))</f>
        <v>2</v>
      </c>
      <c r="I16" t="s">
        <v>378</v>
      </c>
    </row>
    <row r="17" spans="3:9" ht="30" customHeight="1" x14ac:dyDescent="0.2">
      <c r="C17" s="131" t="s">
        <v>196</v>
      </c>
      <c r="D17" s="288" t="s">
        <v>6</v>
      </c>
      <c r="E17" s="289"/>
      <c r="F17" s="161"/>
      <c r="H17" s="130">
        <f>VLOOKUP(D17,リスト2!G3:I6,3,FALSE)</f>
        <v>3</v>
      </c>
      <c r="I17" s="67" t="s">
        <v>236</v>
      </c>
    </row>
    <row r="18" spans="3:9" ht="30" customHeight="1" x14ac:dyDescent="0.2">
      <c r="C18" s="275" t="s">
        <v>295</v>
      </c>
      <c r="D18" s="132" t="s">
        <v>123</v>
      </c>
      <c r="E18" s="132" t="s">
        <v>129</v>
      </c>
      <c r="F18" s="275" t="s">
        <v>195</v>
      </c>
    </row>
    <row r="19" spans="3:9" ht="30" customHeight="1" x14ac:dyDescent="0.2">
      <c r="C19" s="276"/>
      <c r="D19" s="133" t="s">
        <v>64</v>
      </c>
      <c r="E19" s="133" t="s">
        <v>172</v>
      </c>
      <c r="F19" s="276"/>
    </row>
    <row r="20" spans="3:9" ht="30" customHeight="1" x14ac:dyDescent="0.2">
      <c r="C20" s="134" t="s">
        <v>131</v>
      </c>
      <c r="D20" s="135" t="str">
        <f>VLOOKUP(D19,リスト2!$C$3:$E$64,2,FALSE)</f>
        <v>県北土木</v>
      </c>
      <c r="E20" s="135" t="str">
        <f>VLOOKUP(E19,リスト2!$C$3:$E$64,2,FALSE)</f>
        <v>-</v>
      </c>
      <c r="F20" s="135" t="s">
        <v>242</v>
      </c>
    </row>
    <row r="21" spans="3:9" ht="30" customHeight="1" x14ac:dyDescent="0.2">
      <c r="C21" s="134" t="s">
        <v>132</v>
      </c>
      <c r="D21" s="135" t="str">
        <f>VLOOKUP(D19,リスト2!$C$3:$E$64,3,FALSE)</f>
        <v>県北建設</v>
      </c>
      <c r="E21" s="135" t="str">
        <f>VLOOKUP(E19,リスト2!$C$3:$E$64,3,FALSE)</f>
        <v>-</v>
      </c>
      <c r="F21" s="135" t="s">
        <v>130</v>
      </c>
    </row>
    <row r="22" spans="3:9" ht="30" customHeight="1" x14ac:dyDescent="0.2">
      <c r="F22" s="136" t="s">
        <v>241</v>
      </c>
    </row>
    <row r="23" spans="3:9" ht="30" customHeight="1" x14ac:dyDescent="0.2">
      <c r="C23" s="135" t="s">
        <v>127</v>
      </c>
      <c r="D23" s="137">
        <f>'2.様式第1号、第11号-2(地域密着型)'!V47</f>
        <v>0</v>
      </c>
      <c r="E23" s="135" t="s">
        <v>128</v>
      </c>
      <c r="F23" s="144" t="s">
        <v>304</v>
      </c>
    </row>
    <row r="24" spans="3:9" ht="20.100000000000001" customHeight="1" x14ac:dyDescent="0.2">
      <c r="D24" s="138"/>
      <c r="F24" s="139"/>
    </row>
    <row r="25" spans="3:9" ht="20.100000000000001" customHeight="1" x14ac:dyDescent="0.2">
      <c r="D25" s="138"/>
      <c r="F25" s="139"/>
    </row>
    <row r="26" spans="3:9" ht="20.100000000000001" customHeight="1" x14ac:dyDescent="0.2">
      <c r="D26" s="138"/>
      <c r="F26" s="139"/>
    </row>
    <row r="27" spans="3:9" ht="20.100000000000001" customHeight="1" x14ac:dyDescent="0.2">
      <c r="D27" s="138"/>
      <c r="F27" s="139"/>
    </row>
    <row r="28" spans="3:9" ht="20.100000000000001" customHeight="1" x14ac:dyDescent="0.2"/>
  </sheetData>
  <sheetProtection algorithmName="SHA-512" hashValue="YbTAhc1O6mhvmttL0/cKiYyxJxgQmUlqKipAV70p7H7/idyi24uIfPie4oQiTgdpzZ4yxkt2bXOtJ6QVysO0sQ==" saltValue="Xy8YtCXRz0hQSrWua5KL1Q==" spinCount="100000" sheet="1" objects="1" scenarios="1"/>
  <mergeCells count="17">
    <mergeCell ref="D11:E11"/>
    <mergeCell ref="F18:F19"/>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s>
  <phoneticPr fontId="34"/>
  <printOptions horizontalCentered="1"/>
  <pageMargins left="0.59055118110236227" right="0.59055118110236227" top="0.59055118110236227" bottom="0.19685039370078741" header="0.51181102362204722" footer="0.51181102362204722"/>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693420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792480</xdr:colOff>
                    <xdr:row>5</xdr:row>
                    <xdr:rowOff>327660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121920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327660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1760220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リスト!$H$4:$H$9</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7"/>
  <sheetViews>
    <sheetView showGridLines="0" tabSelected="1" view="pageBreakPreview" zoomScale="60" zoomScaleNormal="60" workbookViewId="0">
      <selection activeCell="G33" sqref="G33"/>
    </sheetView>
  </sheetViews>
  <sheetFormatPr defaultColWidth="8.88671875" defaultRowHeight="13.2" x14ac:dyDescent="0.2"/>
  <cols>
    <col min="1" max="1" width="2" customWidth="1"/>
    <col min="2" max="3" width="3.44140625" customWidth="1"/>
    <col min="4" max="4" width="13" customWidth="1"/>
    <col min="5" max="6" width="7.21875" customWidth="1"/>
    <col min="7" max="7" width="19.77734375" customWidth="1"/>
    <col min="8" max="8" width="4.44140625" customWidth="1"/>
    <col min="9" max="9" width="3.77734375" customWidth="1"/>
    <col min="10" max="10" width="4.33203125" customWidth="1"/>
    <col min="11" max="12" width="3.77734375" customWidth="1"/>
    <col min="13" max="13" width="3.33203125" customWidth="1"/>
    <col min="14" max="17" width="3.77734375" customWidth="1"/>
    <col min="18" max="18" width="11.88671875" customWidth="1"/>
    <col min="19" max="19" width="15.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5" max="45" width="12.33203125" customWidth="1"/>
  </cols>
  <sheetData>
    <row r="1" spans="1:19" ht="15" customHeight="1" x14ac:dyDescent="0.2">
      <c r="S1" s="207" t="str">
        <f>'1.基本データ(このシートは削除しないこと！)'!H1</f>
        <v>令和７年度様式（令和７年４月１日以降の入札公告から適用）</v>
      </c>
    </row>
    <row r="2" spans="1:19" s="208" customFormat="1" ht="15" customHeight="1" x14ac:dyDescent="0.2"/>
    <row r="3" spans="1:19" s="208" customFormat="1" ht="15" customHeight="1" x14ac:dyDescent="0.2"/>
    <row r="4" spans="1:19" s="208" customFormat="1" ht="19.95" customHeight="1" x14ac:dyDescent="0.2">
      <c r="C4" s="209" t="s">
        <v>356</v>
      </c>
    </row>
    <row r="5" spans="1:19" s="208" customFormat="1" ht="38.4" customHeight="1" x14ac:dyDescent="0.2">
      <c r="A5" s="461" t="s">
        <v>357</v>
      </c>
      <c r="B5" s="461"/>
      <c r="C5" s="461"/>
      <c r="D5" s="461"/>
      <c r="E5" s="461"/>
      <c r="F5" s="461"/>
      <c r="G5" s="461"/>
      <c r="H5" s="461"/>
      <c r="I5" s="461"/>
      <c r="J5" s="461"/>
      <c r="K5" s="461"/>
      <c r="L5" s="461"/>
      <c r="M5" s="461"/>
      <c r="N5" s="461"/>
      <c r="O5" s="461"/>
      <c r="P5" s="461"/>
      <c r="Q5" s="461"/>
      <c r="R5" s="461"/>
      <c r="S5" s="461"/>
    </row>
    <row r="6" spans="1:19" s="208" customFormat="1" ht="19.95" customHeight="1" x14ac:dyDescent="0.2">
      <c r="A6" s="169"/>
      <c r="B6" s="210"/>
      <c r="C6" s="209"/>
      <c r="D6" s="209"/>
      <c r="E6" s="209"/>
      <c r="F6" s="209"/>
      <c r="G6" s="209"/>
      <c r="H6" s="209"/>
      <c r="I6" s="209"/>
      <c r="J6" s="209"/>
      <c r="K6" s="209"/>
      <c r="L6" s="209"/>
      <c r="M6" s="209"/>
      <c r="N6" s="209"/>
      <c r="O6" s="211"/>
      <c r="P6" s="211"/>
      <c r="Q6" s="462"/>
      <c r="R6" s="462"/>
      <c r="S6" s="462"/>
    </row>
    <row r="7" spans="1:19" s="208" customFormat="1" ht="19.95" customHeight="1" x14ac:dyDescent="0.2">
      <c r="A7" s="170"/>
      <c r="B7" s="212"/>
      <c r="C7" s="210"/>
      <c r="D7" s="210"/>
      <c r="E7" s="209"/>
      <c r="F7" s="209"/>
      <c r="G7" s="209"/>
      <c r="H7" s="209"/>
      <c r="I7" s="209"/>
      <c r="J7" s="209"/>
      <c r="K7" s="209"/>
      <c r="L7" s="209"/>
      <c r="M7" s="209"/>
      <c r="N7" s="209"/>
      <c r="O7" s="209"/>
      <c r="P7" s="209"/>
      <c r="Q7" s="209"/>
      <c r="R7" s="209"/>
      <c r="S7" s="209"/>
    </row>
    <row r="8" spans="1:19" s="208" customFormat="1" ht="19.95" customHeight="1" x14ac:dyDescent="0.2">
      <c r="B8" s="210"/>
      <c r="C8" s="210" t="s">
        <v>16</v>
      </c>
      <c r="D8" s="210"/>
      <c r="E8" s="209"/>
      <c r="F8" s="209"/>
      <c r="G8" s="209"/>
      <c r="H8" s="209"/>
      <c r="I8" s="209"/>
      <c r="J8" s="209"/>
      <c r="K8" s="209"/>
      <c r="L8" s="209"/>
      <c r="M8" s="209"/>
      <c r="N8" s="209"/>
      <c r="O8" s="209"/>
      <c r="P8" s="209"/>
      <c r="Q8" s="209"/>
      <c r="R8" s="209"/>
      <c r="S8" s="209"/>
    </row>
    <row r="9" spans="1:19" s="208" customFormat="1" ht="19.95" customHeight="1" x14ac:dyDescent="0.2">
      <c r="A9" s="170"/>
      <c r="B9" s="212"/>
      <c r="C9" s="210"/>
      <c r="D9" s="210"/>
      <c r="E9" s="209"/>
      <c r="F9" s="209"/>
      <c r="G9" s="209"/>
      <c r="H9" s="209"/>
      <c r="I9" s="209"/>
      <c r="J9" s="209"/>
      <c r="K9" s="209"/>
      <c r="L9" s="209"/>
      <c r="M9" s="209"/>
      <c r="N9" s="209"/>
      <c r="O9" s="209"/>
      <c r="P9" s="209"/>
      <c r="Q9" s="209"/>
      <c r="R9" s="209"/>
      <c r="S9" s="209"/>
    </row>
    <row r="10" spans="1:19" s="208" customFormat="1" ht="25.05" customHeight="1" x14ac:dyDescent="0.2">
      <c r="A10" s="170"/>
      <c r="B10" s="210"/>
      <c r="C10" s="209"/>
      <c r="D10" s="209"/>
      <c r="E10" s="209"/>
      <c r="F10" s="209"/>
      <c r="G10" s="209"/>
      <c r="H10" s="209"/>
      <c r="I10" s="209"/>
      <c r="J10" s="209"/>
      <c r="K10" s="209"/>
      <c r="L10" s="463" t="str">
        <f>IF('1.基本データ(このシートは削除しないこと！)'!H11=0,"",'1.基本データ(このシートは削除しないこと！)'!H11)</f>
        <v/>
      </c>
      <c r="M10" s="463"/>
      <c r="N10" s="463"/>
      <c r="O10" s="463"/>
      <c r="P10" s="463"/>
      <c r="Q10" s="463"/>
      <c r="R10" s="463"/>
      <c r="S10" s="463"/>
    </row>
    <row r="11" spans="1:19" s="208" customFormat="1" ht="25.05" customHeight="1" x14ac:dyDescent="0.2">
      <c r="B11" s="209"/>
      <c r="C11" s="209"/>
      <c r="D11" s="209"/>
      <c r="E11" s="209"/>
      <c r="F11" s="209"/>
      <c r="G11" s="209"/>
      <c r="H11" s="209"/>
      <c r="I11" s="209"/>
      <c r="J11" s="209"/>
      <c r="K11" s="213" t="str">
        <f>IF('1.基本データ(このシートは削除しないこと！)'!H11=0," ","代表構成員")</f>
        <v xml:space="preserve"> </v>
      </c>
      <c r="L11" s="464" t="str">
        <f>'1.基本データ(このシートは削除しないこと！)'!H6</f>
        <v>○○市○○町○○番地</v>
      </c>
      <c r="M11" s="464"/>
      <c r="N11" s="464"/>
      <c r="O11" s="464"/>
      <c r="P11" s="464"/>
      <c r="Q11" s="464"/>
      <c r="R11" s="464"/>
      <c r="S11" s="464"/>
    </row>
    <row r="12" spans="1:19" s="208" customFormat="1" ht="25.05" customHeight="1" x14ac:dyDescent="0.25">
      <c r="A12" s="169"/>
      <c r="B12" s="209"/>
      <c r="C12" s="209"/>
      <c r="D12" s="209"/>
      <c r="E12" s="209"/>
      <c r="F12" s="209"/>
      <c r="G12" s="465" t="s">
        <v>358</v>
      </c>
      <c r="H12" s="465"/>
      <c r="I12" s="465"/>
      <c r="J12" s="465"/>
      <c r="K12" s="465"/>
      <c r="L12" s="464"/>
      <c r="M12" s="464"/>
      <c r="N12" s="464"/>
      <c r="O12" s="464"/>
      <c r="P12" s="464"/>
      <c r="Q12" s="464"/>
      <c r="R12" s="464"/>
      <c r="S12" s="464"/>
    </row>
    <row r="13" spans="1:19" s="208" customFormat="1" ht="25.05" customHeight="1" x14ac:dyDescent="0.25">
      <c r="A13" s="169"/>
      <c r="B13" s="209"/>
      <c r="C13" s="209"/>
      <c r="D13" s="209"/>
      <c r="E13" s="209"/>
      <c r="F13" s="209"/>
      <c r="G13" s="465" t="s">
        <v>7</v>
      </c>
      <c r="H13" s="465"/>
      <c r="I13" s="465"/>
      <c r="J13" s="465"/>
      <c r="K13" s="465"/>
      <c r="L13" s="466" t="str">
        <f>'1.基本データ(このシートは削除しないこと！)'!H7</f>
        <v>株式会社○○○○</v>
      </c>
      <c r="M13" s="466"/>
      <c r="N13" s="466"/>
      <c r="O13" s="466"/>
      <c r="P13" s="466"/>
      <c r="Q13" s="466"/>
      <c r="R13" s="466"/>
      <c r="S13" s="466"/>
    </row>
    <row r="14" spans="1:19" s="208" customFormat="1" ht="25.05" customHeight="1" x14ac:dyDescent="0.25">
      <c r="A14" s="169"/>
      <c r="B14" s="209"/>
      <c r="C14" s="209"/>
      <c r="D14" s="209"/>
      <c r="E14" s="209"/>
      <c r="F14" s="209"/>
      <c r="G14" s="465" t="s">
        <v>14</v>
      </c>
      <c r="H14" s="465"/>
      <c r="I14" s="465"/>
      <c r="J14" s="465"/>
      <c r="K14" s="465"/>
      <c r="L14" s="466" t="str">
        <f>'1.基本データ(このシートは削除しないこと！)'!H8</f>
        <v>代表取締役　○○○○</v>
      </c>
      <c r="M14" s="466"/>
      <c r="N14" s="466"/>
      <c r="O14" s="466"/>
      <c r="P14" s="466"/>
      <c r="Q14" s="466"/>
      <c r="R14" s="466"/>
      <c r="S14" s="466"/>
    </row>
    <row r="15" spans="1:19" s="208" customFormat="1" ht="25.05" customHeight="1" x14ac:dyDescent="0.2">
      <c r="A15" s="169"/>
      <c r="B15" s="214"/>
      <c r="C15" s="215"/>
      <c r="D15" s="210"/>
      <c r="E15" s="209"/>
      <c r="F15" s="209"/>
      <c r="G15" s="216"/>
      <c r="H15" s="216"/>
      <c r="I15" s="216"/>
      <c r="J15" s="216"/>
      <c r="K15" s="216"/>
      <c r="L15" s="216"/>
      <c r="M15" s="216"/>
      <c r="N15" s="216"/>
      <c r="O15" s="216"/>
      <c r="P15" s="216"/>
      <c r="Q15" s="216"/>
      <c r="R15" s="216"/>
      <c r="S15" s="216"/>
    </row>
    <row r="16" spans="1:19" s="208" customFormat="1" ht="25.05" customHeight="1" x14ac:dyDescent="0.2">
      <c r="A16" s="169"/>
      <c r="B16" s="209"/>
      <c r="C16" s="209"/>
      <c r="D16" s="210"/>
      <c r="E16" s="209"/>
      <c r="F16" s="209"/>
      <c r="G16" s="477" t="s">
        <v>8</v>
      </c>
      <c r="H16" s="477"/>
      <c r="I16" s="477"/>
      <c r="J16" s="477"/>
      <c r="K16" s="477"/>
      <c r="L16" s="463" t="str">
        <f>'1.基本データ(このシートは削除しないこと！)'!H9</f>
        <v>000-000-0000</v>
      </c>
      <c r="M16" s="463"/>
      <c r="N16" s="463"/>
      <c r="O16" s="463"/>
      <c r="P16" s="463"/>
      <c r="Q16" s="463"/>
      <c r="R16" s="463"/>
      <c r="S16" s="463"/>
    </row>
    <row r="17" spans="1:19" s="208" customFormat="1" ht="25.05" customHeight="1" x14ac:dyDescent="0.2">
      <c r="A17" s="169"/>
      <c r="B17" s="209"/>
      <c r="C17" s="209"/>
      <c r="D17" s="210"/>
      <c r="E17" s="209"/>
      <c r="F17" s="209"/>
      <c r="G17" s="478" t="s">
        <v>15</v>
      </c>
      <c r="H17" s="478"/>
      <c r="I17" s="478"/>
      <c r="J17" s="478"/>
      <c r="K17" s="478"/>
      <c r="L17" s="479" t="str">
        <f>'1.基本データ(このシートは削除しないこと！)'!H10</f>
        <v>○○○○</v>
      </c>
      <c r="M17" s="479"/>
      <c r="N17" s="479"/>
      <c r="O17" s="479"/>
      <c r="P17" s="479"/>
      <c r="Q17" s="479"/>
      <c r="R17" s="479"/>
      <c r="S17" s="479"/>
    </row>
    <row r="18" spans="1:19" s="208" customFormat="1" ht="19.95" customHeight="1" x14ac:dyDescent="0.2">
      <c r="A18" s="170"/>
      <c r="B18" s="212"/>
      <c r="C18" s="210"/>
      <c r="D18" s="210"/>
      <c r="E18" s="209"/>
      <c r="F18" s="209"/>
      <c r="G18" s="209"/>
      <c r="H18" s="209"/>
      <c r="I18" s="209"/>
      <c r="J18" s="209"/>
      <c r="K18" s="209"/>
      <c r="L18" s="209"/>
      <c r="M18" s="209"/>
      <c r="N18" s="209"/>
      <c r="O18" s="209"/>
      <c r="P18" s="209"/>
      <c r="Q18" s="209"/>
      <c r="R18" s="209"/>
      <c r="S18" s="209"/>
    </row>
    <row r="19" spans="1:19" s="208" customFormat="1" ht="19.95" customHeight="1" x14ac:dyDescent="0.2">
      <c r="B19" s="209"/>
      <c r="C19" s="209"/>
      <c r="D19" s="209"/>
      <c r="E19" s="209"/>
      <c r="F19" s="209"/>
      <c r="G19" s="209"/>
      <c r="H19" s="209"/>
      <c r="I19" s="209"/>
      <c r="J19" s="209"/>
      <c r="K19" s="209"/>
      <c r="L19" s="209"/>
      <c r="M19" s="209"/>
      <c r="N19" s="209"/>
      <c r="O19" s="209"/>
      <c r="P19" s="209"/>
      <c r="Q19" s="209"/>
      <c r="R19" s="209"/>
      <c r="S19" s="209"/>
    </row>
    <row r="20" spans="1:19" s="208" customFormat="1" ht="19.95" customHeight="1" x14ac:dyDescent="0.2">
      <c r="B20" s="209"/>
      <c r="C20" s="480"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令和7年6月17日付けで公告のありました第25-01135-0006号 自治会館受変電設備改修工事について入札いたしますので、下記の書類を添えて技術提案書を提出します。　　　
　なお、提出する書類の内容は、事実と相違ないことを誓約します。</v>
      </c>
      <c r="D20" s="480"/>
      <c r="E20" s="480"/>
      <c r="F20" s="480"/>
      <c r="G20" s="480"/>
      <c r="H20" s="480"/>
      <c r="I20" s="480"/>
      <c r="J20" s="480"/>
      <c r="K20" s="480"/>
      <c r="L20" s="480"/>
      <c r="M20" s="480"/>
      <c r="N20" s="480"/>
      <c r="O20" s="480"/>
      <c r="P20" s="480"/>
      <c r="Q20" s="480"/>
      <c r="R20" s="480"/>
      <c r="S20" s="480"/>
    </row>
    <row r="21" spans="1:19" s="208" customFormat="1" ht="19.95" customHeight="1" x14ac:dyDescent="0.2">
      <c r="B21" s="209"/>
      <c r="C21" s="480"/>
      <c r="D21" s="480"/>
      <c r="E21" s="480"/>
      <c r="F21" s="480"/>
      <c r="G21" s="480"/>
      <c r="H21" s="480"/>
      <c r="I21" s="480"/>
      <c r="J21" s="480"/>
      <c r="K21" s="480"/>
      <c r="L21" s="480"/>
      <c r="M21" s="480"/>
      <c r="N21" s="480"/>
      <c r="O21" s="480"/>
      <c r="P21" s="480"/>
      <c r="Q21" s="480"/>
      <c r="R21" s="480"/>
      <c r="S21" s="480"/>
    </row>
    <row r="22" spans="1:19" s="208" customFormat="1" ht="19.95" customHeight="1" x14ac:dyDescent="0.2">
      <c r="B22" s="209"/>
      <c r="C22" s="480"/>
      <c r="D22" s="480"/>
      <c r="E22" s="480"/>
      <c r="F22" s="480"/>
      <c r="G22" s="480"/>
      <c r="H22" s="480"/>
      <c r="I22" s="480"/>
      <c r="J22" s="480"/>
      <c r="K22" s="480"/>
      <c r="L22" s="480"/>
      <c r="M22" s="480"/>
      <c r="N22" s="480"/>
      <c r="O22" s="480"/>
      <c r="P22" s="480"/>
      <c r="Q22" s="480"/>
      <c r="R22" s="480"/>
      <c r="S22" s="480"/>
    </row>
    <row r="23" spans="1:19" s="208" customFormat="1" ht="19.95" customHeight="1" x14ac:dyDescent="0.2">
      <c r="B23" s="209"/>
      <c r="C23" s="480"/>
      <c r="D23" s="480"/>
      <c r="E23" s="480"/>
      <c r="F23" s="480"/>
      <c r="G23" s="480"/>
      <c r="H23" s="480"/>
      <c r="I23" s="480"/>
      <c r="J23" s="480"/>
      <c r="K23" s="480"/>
      <c r="L23" s="480"/>
      <c r="M23" s="480"/>
      <c r="N23" s="480"/>
      <c r="O23" s="480"/>
      <c r="P23" s="480"/>
      <c r="Q23" s="480"/>
      <c r="R23" s="480"/>
      <c r="S23" s="480"/>
    </row>
    <row r="24" spans="1:19" s="208" customFormat="1" ht="19.95" customHeight="1" x14ac:dyDescent="0.2">
      <c r="B24" s="209"/>
      <c r="C24" s="480"/>
      <c r="D24" s="480"/>
      <c r="E24" s="480"/>
      <c r="F24" s="480"/>
      <c r="G24" s="480"/>
      <c r="H24" s="480"/>
      <c r="I24" s="480"/>
      <c r="J24" s="480"/>
      <c r="K24" s="480"/>
      <c r="L24" s="480"/>
      <c r="M24" s="480"/>
      <c r="N24" s="480"/>
      <c r="O24" s="480"/>
      <c r="P24" s="480"/>
      <c r="Q24" s="480"/>
      <c r="R24" s="480"/>
      <c r="S24" s="480"/>
    </row>
    <row r="25" spans="1:19" s="208" customFormat="1" ht="19.95" customHeight="1" x14ac:dyDescent="0.2">
      <c r="B25" s="209"/>
      <c r="C25" s="209"/>
      <c r="D25" s="209"/>
      <c r="E25" s="209"/>
      <c r="F25" s="209"/>
      <c r="G25" s="209"/>
      <c r="H25" s="209"/>
      <c r="I25" s="209"/>
      <c r="J25" s="209"/>
      <c r="K25" s="209"/>
      <c r="L25" s="209"/>
      <c r="M25" s="209"/>
      <c r="N25" s="209"/>
      <c r="O25" s="209"/>
      <c r="P25" s="209"/>
      <c r="Q25" s="209"/>
      <c r="R25" s="209"/>
      <c r="S25" s="209"/>
    </row>
    <row r="26" spans="1:19" s="217" customFormat="1" ht="22.95" customHeight="1" x14ac:dyDescent="0.2">
      <c r="B26" s="209"/>
      <c r="C26" s="214" t="s">
        <v>363</v>
      </c>
      <c r="D26" s="214"/>
      <c r="E26" s="214"/>
      <c r="F26" s="214"/>
      <c r="G26" s="218"/>
      <c r="H26" s="218"/>
      <c r="I26" s="218"/>
      <c r="J26" s="218"/>
      <c r="K26" s="218"/>
      <c r="L26" s="218"/>
      <c r="M26" s="218"/>
      <c r="N26" s="218"/>
      <c r="O26" s="218"/>
      <c r="P26" s="218"/>
      <c r="Q26" s="218"/>
      <c r="R26" s="218"/>
      <c r="S26" s="218"/>
    </row>
    <row r="27" spans="1:19" s="217" customFormat="1" ht="22.95" customHeight="1" x14ac:dyDescent="0.2">
      <c r="B27" s="209"/>
      <c r="C27" s="214" t="s">
        <v>359</v>
      </c>
      <c r="D27" s="214"/>
      <c r="E27" s="214"/>
      <c r="F27" s="214"/>
      <c r="G27" s="218"/>
      <c r="H27" s="218"/>
      <c r="I27" s="218"/>
      <c r="J27" s="218"/>
      <c r="K27" s="218"/>
      <c r="L27" s="218"/>
      <c r="M27" s="218"/>
      <c r="N27" s="218"/>
      <c r="O27" s="218"/>
      <c r="P27" s="218"/>
      <c r="Q27" s="218"/>
      <c r="R27" s="218"/>
      <c r="S27" s="218"/>
    </row>
    <row r="28" spans="1:19" s="217" customFormat="1" ht="22.95" customHeight="1" x14ac:dyDescent="0.2">
      <c r="B28" s="209"/>
      <c r="C28" s="210" t="s">
        <v>360</v>
      </c>
      <c r="D28" s="210"/>
      <c r="E28" s="210"/>
      <c r="F28" s="210"/>
      <c r="G28" s="209"/>
      <c r="H28" s="209"/>
      <c r="I28" s="209"/>
      <c r="J28" s="209"/>
      <c r="K28" s="209"/>
      <c r="L28" s="209"/>
      <c r="M28" s="209"/>
      <c r="N28" s="209"/>
      <c r="O28" s="209"/>
      <c r="P28" s="209"/>
      <c r="Q28" s="209"/>
      <c r="R28" s="209"/>
      <c r="S28" s="209"/>
    </row>
    <row r="29" spans="1:19" s="217" customFormat="1" ht="22.95" customHeight="1" x14ac:dyDescent="0.2">
      <c r="B29" s="209"/>
      <c r="C29" s="214"/>
      <c r="D29" s="214"/>
      <c r="E29" s="214"/>
      <c r="F29" s="214"/>
      <c r="G29" s="209"/>
      <c r="H29" s="209"/>
      <c r="I29" s="209"/>
      <c r="J29" s="209"/>
      <c r="K29" s="209"/>
      <c r="L29" s="209"/>
      <c r="M29" s="209"/>
      <c r="N29" s="209"/>
      <c r="O29" s="209"/>
      <c r="P29" s="209"/>
      <c r="Q29" s="209"/>
      <c r="R29" s="209"/>
      <c r="S29" s="209"/>
    </row>
    <row r="30" spans="1:19" s="217" customFormat="1" ht="22.95" customHeight="1" x14ac:dyDescent="0.2">
      <c r="B30" s="209"/>
      <c r="C30" s="210" t="s">
        <v>273</v>
      </c>
      <c r="D30" s="210"/>
      <c r="E30" s="210"/>
      <c r="F30" s="210"/>
      <c r="G30" s="209"/>
      <c r="H30" s="209"/>
      <c r="I30" s="209"/>
      <c r="J30" s="209"/>
      <c r="K30" s="209"/>
      <c r="L30" s="209"/>
      <c r="M30" s="209"/>
      <c r="N30" s="209"/>
      <c r="O30" s="209"/>
      <c r="P30" s="209"/>
      <c r="Q30" s="209"/>
      <c r="R30" s="209"/>
      <c r="S30" s="209"/>
    </row>
    <row r="31" spans="1:19" s="217" customFormat="1" ht="22.95" customHeight="1" x14ac:dyDescent="0.2">
      <c r="B31" s="209"/>
      <c r="C31" s="210" t="s">
        <v>361</v>
      </c>
      <c r="D31" s="210"/>
      <c r="E31" s="210"/>
      <c r="F31" s="210"/>
      <c r="G31" s="209"/>
      <c r="H31" s="209"/>
      <c r="I31" s="209"/>
      <c r="J31" s="209"/>
      <c r="K31" s="209"/>
      <c r="L31" s="209"/>
      <c r="M31" s="209"/>
      <c r="N31" s="209"/>
      <c r="O31" s="209"/>
      <c r="P31" s="209"/>
      <c r="Q31" s="209"/>
      <c r="R31" s="209"/>
      <c r="S31" s="209"/>
    </row>
    <row r="32" spans="1:19" s="217" customFormat="1" ht="22.95" customHeight="1" x14ac:dyDescent="0.2">
      <c r="B32" s="209"/>
      <c r="C32" s="210" t="s">
        <v>362</v>
      </c>
      <c r="D32" s="210"/>
      <c r="E32" s="210"/>
      <c r="F32" s="210"/>
      <c r="G32" s="209"/>
      <c r="H32" s="209"/>
      <c r="I32" s="209"/>
      <c r="J32" s="209"/>
      <c r="K32" s="209"/>
      <c r="L32" s="209"/>
      <c r="M32" s="209"/>
      <c r="N32" s="209"/>
      <c r="O32" s="209"/>
      <c r="P32" s="209"/>
      <c r="Q32" s="209"/>
      <c r="R32" s="209"/>
      <c r="S32" s="209"/>
    </row>
    <row r="33" spans="1:22" s="217" customFormat="1" ht="22.95" customHeight="1" x14ac:dyDescent="0.2">
      <c r="B33" s="209"/>
      <c r="C33" s="210"/>
      <c r="D33" s="210"/>
      <c r="E33" s="210"/>
      <c r="F33" s="210"/>
      <c r="G33" s="209"/>
      <c r="H33" s="209"/>
      <c r="I33" s="209"/>
      <c r="J33" s="209"/>
      <c r="K33" s="209"/>
      <c r="L33" s="209"/>
      <c r="M33" s="209"/>
      <c r="N33" s="209"/>
      <c r="O33" s="209"/>
      <c r="P33" s="209"/>
      <c r="Q33" s="209"/>
      <c r="R33" s="209"/>
      <c r="S33" s="209"/>
    </row>
    <row r="34" spans="1:22" s="217" customFormat="1" ht="22.95" customHeight="1" x14ac:dyDescent="0.2">
      <c r="B34" s="209"/>
      <c r="C34" s="210" t="s">
        <v>245</v>
      </c>
      <c r="D34" s="210"/>
      <c r="E34" s="210"/>
      <c r="F34" s="210"/>
      <c r="G34" s="209"/>
      <c r="H34" s="209"/>
      <c r="I34" s="209"/>
      <c r="J34" s="209"/>
      <c r="K34" s="209"/>
      <c r="L34" s="209"/>
      <c r="M34" s="209"/>
      <c r="N34" s="209"/>
      <c r="O34" s="209"/>
      <c r="P34" s="209"/>
      <c r="Q34" s="209"/>
      <c r="R34" s="209"/>
      <c r="S34" s="209"/>
    </row>
    <row r="35" spans="1:22" s="217" customFormat="1" ht="22.95" customHeight="1" x14ac:dyDescent="0.2">
      <c r="B35" s="209"/>
      <c r="C35" s="210" t="s">
        <v>9</v>
      </c>
      <c r="D35" s="210"/>
      <c r="E35" s="210"/>
      <c r="F35" s="210"/>
      <c r="G35" s="209"/>
      <c r="H35" s="209"/>
      <c r="I35" s="209"/>
      <c r="J35" s="209"/>
      <c r="K35" s="209"/>
      <c r="L35" s="209"/>
      <c r="M35" s="209"/>
      <c r="N35" s="209"/>
      <c r="O35" s="209"/>
      <c r="P35" s="209"/>
      <c r="Q35" s="209"/>
      <c r="R35" s="209"/>
      <c r="S35" s="209"/>
    </row>
    <row r="36" spans="1:22" s="217" customFormat="1" ht="22.95" customHeight="1" x14ac:dyDescent="0.2">
      <c r="B36" s="209"/>
      <c r="C36" s="210" t="s">
        <v>10</v>
      </c>
      <c r="D36" s="210"/>
      <c r="E36" s="210"/>
      <c r="F36" s="210"/>
      <c r="G36" s="209"/>
      <c r="H36" s="209"/>
      <c r="I36" s="209"/>
      <c r="J36" s="209"/>
      <c r="K36" s="209"/>
      <c r="L36" s="209"/>
      <c r="M36" s="209"/>
      <c r="N36" s="209"/>
      <c r="O36" s="209"/>
      <c r="P36" s="209"/>
      <c r="Q36" s="209"/>
      <c r="R36" s="209"/>
      <c r="S36" s="209"/>
    </row>
    <row r="37" spans="1:22" s="217" customFormat="1" ht="22.95" customHeight="1" x14ac:dyDescent="0.2">
      <c r="B37" s="209"/>
      <c r="C37" s="210" t="s">
        <v>11</v>
      </c>
      <c r="D37" s="210"/>
      <c r="E37" s="210"/>
      <c r="F37" s="210"/>
      <c r="G37" s="209"/>
      <c r="H37" s="209"/>
      <c r="I37" s="209"/>
      <c r="J37" s="209"/>
      <c r="K37" s="209"/>
      <c r="L37" s="209"/>
      <c r="M37" s="209"/>
      <c r="N37" s="209"/>
      <c r="O37" s="209"/>
      <c r="P37" s="209"/>
      <c r="Q37" s="209"/>
      <c r="R37" s="209"/>
      <c r="S37" s="209"/>
    </row>
    <row r="38" spans="1:22" s="217" customFormat="1" ht="22.95" customHeight="1" x14ac:dyDescent="0.2">
      <c r="B38" s="209"/>
      <c r="C38" s="210" t="s">
        <v>12</v>
      </c>
      <c r="D38" s="210"/>
      <c r="E38" s="210"/>
      <c r="F38" s="210"/>
      <c r="G38" s="209"/>
      <c r="H38" s="209"/>
      <c r="I38" s="209"/>
      <c r="J38" s="209"/>
      <c r="K38" s="209"/>
      <c r="L38" s="209"/>
      <c r="M38" s="209"/>
      <c r="N38" s="209"/>
      <c r="O38" s="209"/>
      <c r="P38" s="209"/>
      <c r="Q38" s="209"/>
      <c r="R38" s="209"/>
      <c r="S38" s="209"/>
    </row>
    <row r="39" spans="1:22" s="217" customFormat="1" ht="22.95" customHeight="1" x14ac:dyDescent="0.2">
      <c r="B39" s="209"/>
      <c r="C39" s="210"/>
      <c r="D39" s="210"/>
      <c r="E39" s="210"/>
      <c r="F39" s="210"/>
      <c r="G39" s="209"/>
      <c r="H39" s="209"/>
      <c r="I39" s="209"/>
      <c r="J39" s="209"/>
      <c r="K39" s="209"/>
      <c r="L39" s="209"/>
      <c r="M39" s="209"/>
      <c r="N39" s="209"/>
      <c r="O39" s="209"/>
      <c r="P39" s="209"/>
      <c r="Q39" s="209"/>
      <c r="R39" s="209"/>
      <c r="S39" s="209"/>
    </row>
    <row r="40" spans="1:22" s="217" customFormat="1" ht="22.95" customHeight="1" x14ac:dyDescent="0.2">
      <c r="B40" s="209"/>
      <c r="C40" s="210" t="s">
        <v>246</v>
      </c>
      <c r="D40" s="210"/>
      <c r="E40" s="210"/>
      <c r="F40" s="210"/>
      <c r="G40" s="209"/>
      <c r="H40" s="209"/>
      <c r="I40" s="209"/>
      <c r="J40" s="209"/>
      <c r="K40" s="209"/>
      <c r="L40" s="209"/>
      <c r="M40" s="209"/>
      <c r="N40" s="209"/>
      <c r="O40" s="209"/>
      <c r="P40" s="209"/>
      <c r="Q40" s="209"/>
      <c r="R40" s="209"/>
      <c r="S40" s="209"/>
    </row>
    <row r="41" spans="1:22" s="217" customFormat="1" ht="22.95" customHeight="1" x14ac:dyDescent="0.2">
      <c r="B41" s="209"/>
      <c r="C41" s="210" t="s">
        <v>9</v>
      </c>
      <c r="D41" s="210"/>
      <c r="E41" s="210"/>
      <c r="F41" s="210"/>
      <c r="G41" s="209"/>
      <c r="H41" s="209"/>
      <c r="I41" s="209"/>
      <c r="J41" s="209"/>
      <c r="K41" s="209"/>
      <c r="L41" s="209"/>
      <c r="M41" s="209"/>
      <c r="N41" s="209"/>
      <c r="O41" s="209"/>
      <c r="P41" s="209"/>
      <c r="Q41" s="209"/>
      <c r="R41" s="209"/>
      <c r="S41" s="209"/>
    </row>
    <row r="42" spans="1:22" s="217" customFormat="1" ht="22.95" customHeight="1" x14ac:dyDescent="0.2">
      <c r="B42" s="209"/>
      <c r="C42" s="210" t="s">
        <v>10</v>
      </c>
      <c r="D42" s="210"/>
      <c r="E42" s="210"/>
      <c r="F42" s="210"/>
      <c r="G42" s="209"/>
      <c r="H42" s="209"/>
      <c r="I42" s="209"/>
      <c r="J42" s="209"/>
      <c r="K42" s="209"/>
      <c r="L42" s="209"/>
      <c r="M42" s="209"/>
      <c r="N42" s="209"/>
      <c r="O42" s="209"/>
      <c r="P42" s="209"/>
      <c r="Q42" s="209"/>
      <c r="R42" s="209"/>
      <c r="S42" s="209"/>
    </row>
    <row r="43" spans="1:22" s="217" customFormat="1" ht="22.95" customHeight="1" x14ac:dyDescent="0.2">
      <c r="B43" s="209"/>
      <c r="C43" s="210" t="s">
        <v>11</v>
      </c>
      <c r="D43" s="210"/>
      <c r="E43" s="210"/>
      <c r="F43" s="210"/>
      <c r="G43" s="209"/>
      <c r="H43" s="209"/>
      <c r="I43" s="209"/>
      <c r="J43" s="209"/>
      <c r="K43" s="209"/>
      <c r="L43" s="209"/>
      <c r="M43" s="209"/>
      <c r="N43" s="209"/>
      <c r="O43" s="209"/>
      <c r="P43" s="209"/>
      <c r="Q43" s="209"/>
      <c r="R43" s="209"/>
      <c r="S43" s="209"/>
    </row>
    <row r="44" spans="1:22" s="217" customFormat="1" ht="22.95" customHeight="1" x14ac:dyDescent="0.2">
      <c r="B44" s="209"/>
      <c r="C44" s="210" t="s">
        <v>12</v>
      </c>
      <c r="D44" s="210"/>
      <c r="E44" s="210"/>
      <c r="F44" s="210"/>
      <c r="G44" s="209"/>
      <c r="H44" s="209"/>
      <c r="I44" s="209"/>
      <c r="J44" s="209"/>
      <c r="K44" s="209"/>
      <c r="L44" s="209"/>
      <c r="M44" s="209"/>
      <c r="N44" s="209"/>
      <c r="O44" s="209"/>
      <c r="P44" s="209"/>
      <c r="Q44" s="209"/>
      <c r="R44" s="209"/>
      <c r="S44" s="209"/>
    </row>
    <row r="45" spans="1:22" s="217" customFormat="1" ht="22.95" customHeight="1" x14ac:dyDescent="0.2">
      <c r="B45" s="209"/>
      <c r="C45" s="210" t="s">
        <v>13</v>
      </c>
      <c r="D45" s="210"/>
      <c r="E45" s="210"/>
      <c r="F45" s="210"/>
      <c r="G45" s="209"/>
      <c r="H45" s="209"/>
      <c r="I45" s="209"/>
      <c r="J45" s="209"/>
      <c r="K45" s="209"/>
      <c r="L45" s="209"/>
      <c r="M45" s="209"/>
      <c r="N45" s="209"/>
      <c r="O45" s="209"/>
      <c r="P45" s="209"/>
      <c r="Q45" s="209"/>
      <c r="R45" s="209"/>
      <c r="S45" s="209"/>
    </row>
    <row r="46" spans="1:22" s="208" customFormat="1" ht="19.95" customHeight="1" thickBot="1" x14ac:dyDescent="0.25">
      <c r="A46" s="219"/>
      <c r="B46" s="220"/>
      <c r="C46" s="220"/>
      <c r="D46" s="221"/>
      <c r="E46" s="221"/>
      <c r="F46" s="221"/>
      <c r="G46" s="221"/>
      <c r="H46" s="221"/>
      <c r="I46" s="221"/>
      <c r="J46" s="221"/>
      <c r="K46" s="221"/>
      <c r="L46" s="221"/>
      <c r="M46" s="221"/>
      <c r="N46" s="221"/>
      <c r="O46" s="221"/>
      <c r="P46" s="221"/>
      <c r="Q46" s="209"/>
      <c r="R46" s="209"/>
      <c r="S46" s="209"/>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269" t="str">
        <f>'1.基本データ(このシートは削除しないこと！)'!H1</f>
        <v>令和７年度様式（令和７年４月１日以降の入札公告から適用）</v>
      </c>
      <c r="T47" s="435" t="s">
        <v>4</v>
      </c>
      <c r="U47" s="436"/>
      <c r="V47" s="30">
        <f>SUM(F52:F101)</f>
        <v>0</v>
      </c>
    </row>
    <row r="48" spans="1:22" ht="14.25" customHeight="1" thickTop="1" x14ac:dyDescent="0.2">
      <c r="A48" s="27"/>
      <c r="B48" s="439" t="s">
        <v>275</v>
      </c>
      <c r="C48" s="439"/>
      <c r="D48" s="439"/>
      <c r="E48" s="439"/>
      <c r="F48" s="439"/>
      <c r="G48" s="439"/>
      <c r="H48" s="439"/>
      <c r="I48" s="167"/>
      <c r="J48" s="167"/>
      <c r="K48" s="167"/>
      <c r="L48" s="167"/>
      <c r="M48" s="167"/>
      <c r="N48" s="167"/>
      <c r="O48" s="167"/>
      <c r="P48" s="167"/>
      <c r="Q48" s="31"/>
      <c r="S48" s="32" t="s">
        <v>274</v>
      </c>
    </row>
    <row r="49" spans="1:42" ht="16.5" customHeight="1" x14ac:dyDescent="0.2">
      <c r="A49" s="27"/>
      <c r="B49" s="437" t="s">
        <v>143</v>
      </c>
      <c r="C49" s="437"/>
      <c r="D49" s="437"/>
      <c r="E49" s="360" t="str">
        <f>'1.基本データ(このシートは削除しないこと！)'!H14&amp;'1.基本データ(このシートは削除しないこと！)'!H15</f>
        <v>第25-01135-0006号 自治会館受変電設備改修工事</v>
      </c>
      <c r="F49" s="360"/>
      <c r="G49" s="360"/>
      <c r="H49" s="360"/>
      <c r="I49" s="360"/>
      <c r="J49" s="360"/>
      <c r="K49" s="360"/>
      <c r="L49" s="360"/>
      <c r="M49" s="360"/>
      <c r="N49" s="360"/>
      <c r="O49" s="360"/>
      <c r="P49" s="360"/>
      <c r="Q49" s="360"/>
      <c r="R49" s="360"/>
    </row>
    <row r="50" spans="1:42"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2" ht="22.5" customHeight="1" thickBot="1" x14ac:dyDescent="0.25">
      <c r="A51" s="27"/>
      <c r="B51" s="388" t="s">
        <v>2</v>
      </c>
      <c r="C51" s="388"/>
      <c r="D51" s="388"/>
      <c r="E51" s="33" t="s">
        <v>173</v>
      </c>
      <c r="F51" s="34" t="s">
        <v>3</v>
      </c>
      <c r="G51" s="304" t="s">
        <v>323</v>
      </c>
      <c r="H51" s="305"/>
      <c r="I51" s="305"/>
      <c r="J51" s="305"/>
      <c r="K51" s="305"/>
      <c r="L51" s="305"/>
      <c r="M51" s="305"/>
      <c r="N51" s="305"/>
      <c r="O51" s="305"/>
      <c r="P51" s="305"/>
      <c r="Q51" s="305"/>
      <c r="R51" s="305"/>
      <c r="S51" s="306"/>
      <c r="V51" s="35" t="s">
        <v>140</v>
      </c>
      <c r="AB51" s="36"/>
      <c r="AC51" s="36"/>
      <c r="AD51" s="37" t="s">
        <v>175</v>
      </c>
      <c r="AE51" s="165" t="s">
        <v>176</v>
      </c>
      <c r="AG51" s="36"/>
      <c r="AH51" s="36"/>
      <c r="AP51" s="150" t="s">
        <v>177</v>
      </c>
    </row>
    <row r="52" spans="1:42" ht="30" customHeight="1" thickBot="1" x14ac:dyDescent="0.25">
      <c r="A52" s="27"/>
      <c r="B52" s="385" t="s">
        <v>225</v>
      </c>
      <c r="C52" s="314" t="s">
        <v>337</v>
      </c>
      <c r="D52" s="373"/>
      <c r="E52" s="357">
        <f>AD52</f>
        <v>2</v>
      </c>
      <c r="F52" s="438" t="str">
        <f>IF(Y52=0,"-",AP52)</f>
        <v>-</v>
      </c>
      <c r="G52" s="336" t="s">
        <v>142</v>
      </c>
      <c r="H52" s="337"/>
      <c r="I52" s="323"/>
      <c r="J52" s="324"/>
      <c r="K52" s="324"/>
      <c r="L52" s="324"/>
      <c r="M52" s="324"/>
      <c r="N52" s="324"/>
      <c r="O52" s="324"/>
      <c r="P52" s="324"/>
      <c r="Q52" s="325"/>
      <c r="R52" s="204" t="s">
        <v>254</v>
      </c>
      <c r="S52" s="346"/>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row>
    <row r="53" spans="1:42" ht="30" customHeight="1" thickBot="1" x14ac:dyDescent="0.25">
      <c r="A53" s="27"/>
      <c r="B53" s="386"/>
      <c r="C53" s="374"/>
      <c r="D53" s="375"/>
      <c r="E53" s="358"/>
      <c r="F53" s="438"/>
      <c r="G53" s="338" t="s">
        <v>324</v>
      </c>
      <c r="H53" s="339"/>
      <c r="I53" s="323"/>
      <c r="J53" s="324"/>
      <c r="K53" s="324"/>
      <c r="L53" s="324"/>
      <c r="M53" s="324"/>
      <c r="N53" s="324"/>
      <c r="O53" s="324"/>
      <c r="P53" s="324"/>
      <c r="Q53" s="325"/>
      <c r="R53" s="326" t="s">
        <v>279</v>
      </c>
      <c r="S53" s="440"/>
      <c r="V53" s="1">
        <f>IF(I53="",0,1)</f>
        <v>0</v>
      </c>
      <c r="W53" s="45"/>
      <c r="Z53" s="22"/>
      <c r="AA53" s="39" t="s">
        <v>28</v>
      </c>
      <c r="AB53" s="40"/>
      <c r="AC53" s="41">
        <f>IF($I$53=AA53,1,0)</f>
        <v>0</v>
      </c>
      <c r="AD53" s="42">
        <v>1.5</v>
      </c>
      <c r="AE53" s="43">
        <f>AC53*AD53</f>
        <v>0</v>
      </c>
      <c r="AG53" s="44"/>
      <c r="AH53" s="44"/>
      <c r="AP53" s="46"/>
    </row>
    <row r="54" spans="1:42" ht="30" customHeight="1" thickBot="1" x14ac:dyDescent="0.25">
      <c r="A54" s="27"/>
      <c r="B54" s="386"/>
      <c r="C54" s="374"/>
      <c r="D54" s="375"/>
      <c r="E54" s="358"/>
      <c r="F54" s="438"/>
      <c r="G54" s="340" t="s">
        <v>263</v>
      </c>
      <c r="H54" s="341"/>
      <c r="I54" s="333"/>
      <c r="J54" s="334"/>
      <c r="K54" s="334"/>
      <c r="L54" s="334"/>
      <c r="M54" s="334"/>
      <c r="N54" s="334"/>
      <c r="O54" s="334"/>
      <c r="P54" s="334"/>
      <c r="Q54" s="335"/>
      <c r="R54" s="327"/>
      <c r="S54" s="347"/>
      <c r="V54" s="47"/>
      <c r="W54" s="48"/>
      <c r="AA54" s="39" t="s">
        <v>31</v>
      </c>
      <c r="AB54" s="40"/>
      <c r="AC54" s="41">
        <f>IF($I$53=AA54,1,0)</f>
        <v>0</v>
      </c>
      <c r="AD54" s="42">
        <v>0.5</v>
      </c>
      <c r="AE54" s="43">
        <f>AC54*AD54</f>
        <v>0</v>
      </c>
      <c r="AG54" s="44"/>
      <c r="AH54" s="44"/>
      <c r="AJ54" s="11" t="s">
        <v>168</v>
      </c>
      <c r="AK54" s="11" t="s">
        <v>151</v>
      </c>
    </row>
    <row r="55" spans="1:42" ht="30" customHeight="1" thickBot="1" x14ac:dyDescent="0.25">
      <c r="A55" s="27"/>
      <c r="B55" s="441"/>
      <c r="C55" s="457" t="s">
        <v>338</v>
      </c>
      <c r="D55" s="448"/>
      <c r="E55" s="467">
        <f>AD56</f>
        <v>1.5</v>
      </c>
      <c r="F55" s="397" t="str">
        <f>IF(Y55=0,"-",AP56)</f>
        <v>-</v>
      </c>
      <c r="G55" s="342" t="s">
        <v>281</v>
      </c>
      <c r="H55" s="343"/>
      <c r="I55" s="119" t="s">
        <v>248</v>
      </c>
      <c r="J55" s="222"/>
      <c r="K55" s="14" t="s">
        <v>249</v>
      </c>
      <c r="L55" s="459"/>
      <c r="M55" s="452"/>
      <c r="N55" s="14" t="s">
        <v>249</v>
      </c>
      <c r="O55" s="451"/>
      <c r="P55" s="452"/>
      <c r="Q55" s="120" t="s">
        <v>250</v>
      </c>
      <c r="R55" s="194" t="s">
        <v>325</v>
      </c>
      <c r="S55" s="145" t="s">
        <v>172</v>
      </c>
      <c r="V55" s="1">
        <f>IF(AND(J55&lt;&gt;"",L55&lt;&gt;"",O55&lt;&gt;""),1,0)</f>
        <v>0</v>
      </c>
      <c r="W55" s="1">
        <f>IF(S55='1.基本データ(このシートは削除しないこと！)'!D16,1,0)</f>
        <v>0</v>
      </c>
      <c r="X55" s="38"/>
      <c r="Y55" s="21">
        <f>SUM(V55:W56)</f>
        <v>0</v>
      </c>
      <c r="Z55" s="22" t="s">
        <v>244</v>
      </c>
      <c r="AB55" s="44"/>
      <c r="AC55" s="44"/>
      <c r="AD55" s="37" t="s">
        <v>168</v>
      </c>
      <c r="AE55" s="165" t="s">
        <v>151</v>
      </c>
      <c r="AG55" s="50" t="s">
        <v>309</v>
      </c>
      <c r="AH55" s="51"/>
      <c r="AI55" s="41">
        <f>IF($S$56=AG55,1,0)</f>
        <v>0</v>
      </c>
      <c r="AJ55" s="1">
        <v>1.25</v>
      </c>
      <c r="AK55" s="42">
        <f>AI55*AJ55</f>
        <v>0</v>
      </c>
      <c r="AP55" s="150" t="s">
        <v>171</v>
      </c>
    </row>
    <row r="56" spans="1:42" ht="30" customHeight="1" thickBot="1" x14ac:dyDescent="0.25">
      <c r="A56" s="27"/>
      <c r="B56" s="441"/>
      <c r="C56" s="307"/>
      <c r="D56" s="309"/>
      <c r="E56" s="468"/>
      <c r="F56" s="460"/>
      <c r="G56" s="344" t="s">
        <v>375</v>
      </c>
      <c r="H56" s="345"/>
      <c r="I56" s="330"/>
      <c r="J56" s="331"/>
      <c r="K56" s="331"/>
      <c r="L56" s="331"/>
      <c r="M56" s="331"/>
      <c r="N56" s="331"/>
      <c r="O56" s="332"/>
      <c r="P56" s="328" t="s">
        <v>326</v>
      </c>
      <c r="Q56" s="328"/>
      <c r="R56" s="329"/>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row>
    <row r="57" spans="1:42" ht="19.95" customHeight="1" thickBot="1" x14ac:dyDescent="0.25">
      <c r="A57" s="27"/>
      <c r="B57" s="441"/>
      <c r="C57" s="458"/>
      <c r="D57" s="450"/>
      <c r="E57" s="469"/>
      <c r="F57" s="398"/>
      <c r="G57" s="317" t="s">
        <v>332</v>
      </c>
      <c r="H57" s="318"/>
      <c r="I57" s="318"/>
      <c r="J57" s="318"/>
      <c r="K57" s="318"/>
      <c r="L57" s="318"/>
      <c r="M57" s="318"/>
      <c r="N57" s="318"/>
      <c r="O57" s="318"/>
      <c r="P57" s="318"/>
      <c r="Q57" s="318"/>
      <c r="R57" s="318"/>
      <c r="S57" s="319"/>
      <c r="V57" s="1"/>
      <c r="AA57" s="52"/>
      <c r="AB57" s="53"/>
      <c r="AC57" s="54"/>
      <c r="AD57" s="1"/>
      <c r="AE57" s="55"/>
      <c r="AG57" s="52"/>
      <c r="AH57" s="53"/>
      <c r="AI57" s="54"/>
      <c r="AK57" s="55"/>
      <c r="AP57" s="151"/>
    </row>
    <row r="58" spans="1:42" ht="34.950000000000003" customHeight="1" thickBot="1" x14ac:dyDescent="0.25">
      <c r="A58" s="27"/>
      <c r="B58" s="441"/>
      <c r="C58" s="342" t="s">
        <v>267</v>
      </c>
      <c r="D58" s="456"/>
      <c r="E58" s="121">
        <f t="shared" ref="E58" si="0">AD58</f>
        <v>0.25</v>
      </c>
      <c r="F58" s="122" t="str">
        <f t="shared" ref="F58" si="1">AP58</f>
        <v>-</v>
      </c>
      <c r="G58" s="320" t="s">
        <v>364</v>
      </c>
      <c r="H58" s="321"/>
      <c r="I58" s="321"/>
      <c r="J58" s="321"/>
      <c r="K58" s="321"/>
      <c r="L58" s="321"/>
      <c r="M58" s="321"/>
      <c r="N58" s="321"/>
      <c r="O58" s="321"/>
      <c r="P58" s="321"/>
      <c r="Q58" s="321"/>
      <c r="R58" s="123" t="s">
        <v>327</v>
      </c>
      <c r="S58" s="146" t="s">
        <v>172</v>
      </c>
      <c r="V58" s="1">
        <f>IF(S58="有",1,0)</f>
        <v>0</v>
      </c>
      <c r="AD58" s="42">
        <v>0.25</v>
      </c>
      <c r="AE58" s="56"/>
      <c r="AG58" s="44"/>
      <c r="AH58" s="44"/>
      <c r="AP58" s="152" t="str">
        <f>IF(V58=1,AD58,"-")</f>
        <v>-</v>
      </c>
    </row>
    <row r="59" spans="1:42" ht="34.950000000000003" customHeight="1" thickBot="1" x14ac:dyDescent="0.25">
      <c r="A59" s="27"/>
      <c r="B59" s="441"/>
      <c r="C59" s="344" t="s">
        <v>268</v>
      </c>
      <c r="D59" s="430"/>
      <c r="E59" s="121">
        <f t="shared" ref="E59:E60" si="2">AD59</f>
        <v>0.25</v>
      </c>
      <c r="F59" s="122" t="str">
        <f t="shared" ref="F59" si="3">AP59</f>
        <v>-</v>
      </c>
      <c r="G59" s="320" t="s">
        <v>255</v>
      </c>
      <c r="H59" s="321"/>
      <c r="I59" s="322"/>
      <c r="J59" s="322"/>
      <c r="K59" s="322"/>
      <c r="L59" s="322"/>
      <c r="M59" s="322"/>
      <c r="N59" s="322"/>
      <c r="O59" s="322"/>
      <c r="P59" s="322"/>
      <c r="Q59" s="322"/>
      <c r="R59" s="123" t="s">
        <v>328</v>
      </c>
      <c r="S59" s="146" t="s">
        <v>172</v>
      </c>
      <c r="V59" s="1">
        <f>IF(S59="有",1,0)</f>
        <v>0</v>
      </c>
      <c r="AD59" s="42">
        <v>0.25</v>
      </c>
      <c r="AE59" s="56"/>
      <c r="AG59" s="44"/>
      <c r="AH59" s="44"/>
      <c r="AP59" s="152" t="str">
        <f>IF(V59=1,AD59,"-")</f>
        <v>-</v>
      </c>
    </row>
    <row r="60" spans="1:42" ht="34.950000000000003" customHeight="1" thickBot="1" x14ac:dyDescent="0.25">
      <c r="A60" s="27"/>
      <c r="B60" s="441"/>
      <c r="C60" s="342" t="s">
        <v>368</v>
      </c>
      <c r="D60" s="456"/>
      <c r="E60" s="121">
        <f t="shared" si="2"/>
        <v>0.25</v>
      </c>
      <c r="F60" s="122" t="str">
        <f>IF('1.基本データ(このシートは削除しないこと！)'!H16=1,AP60,"-")</f>
        <v>-</v>
      </c>
      <c r="G60" s="320" t="s">
        <v>369</v>
      </c>
      <c r="H60" s="321"/>
      <c r="I60" s="321"/>
      <c r="J60" s="321"/>
      <c r="K60" s="321"/>
      <c r="L60" s="321"/>
      <c r="M60" s="321"/>
      <c r="N60" s="321"/>
      <c r="O60" s="321"/>
      <c r="P60" s="321"/>
      <c r="Q60" s="321"/>
      <c r="R60" s="123" t="s">
        <v>370</v>
      </c>
      <c r="S60" s="146" t="s">
        <v>172</v>
      </c>
      <c r="V60" s="1">
        <f>IF(S60="有",1,0)</f>
        <v>0</v>
      </c>
      <c r="AD60" s="42">
        <v>0.25</v>
      </c>
      <c r="AE60" s="42">
        <f>IF('1.基本データ(このシートは削除しないこと！)'!H16=1,1,0)</f>
        <v>0</v>
      </c>
      <c r="AF60">
        <f>AD60*AE60</f>
        <v>0</v>
      </c>
      <c r="AG60" s="44"/>
      <c r="AH60" s="44"/>
      <c r="AP60" s="152" t="str">
        <f>IF(V60=1,AF60,"-")</f>
        <v>-</v>
      </c>
    </row>
    <row r="61" spans="1:42" ht="34.950000000000003" customHeight="1" thickBot="1" x14ac:dyDescent="0.25">
      <c r="A61" s="27"/>
      <c r="B61" s="386"/>
      <c r="C61" s="376" t="s">
        <v>1</v>
      </c>
      <c r="D61" s="377"/>
      <c r="E61" s="195"/>
      <c r="F61" s="195"/>
      <c r="G61" s="470" t="s">
        <v>371</v>
      </c>
      <c r="H61" s="471"/>
      <c r="I61" s="453"/>
      <c r="J61" s="454"/>
      <c r="K61" s="454"/>
      <c r="L61" s="454"/>
      <c r="M61" s="454"/>
      <c r="N61" s="454"/>
      <c r="O61" s="454"/>
      <c r="P61" s="454"/>
      <c r="Q61" s="455"/>
      <c r="R61" s="442" t="s">
        <v>367</v>
      </c>
      <c r="S61" s="443"/>
      <c r="V61" s="21">
        <f>IF(I61="",0,1)</f>
        <v>0</v>
      </c>
      <c r="W61" t="s">
        <v>226</v>
      </c>
      <c r="AD61" s="37" t="s">
        <v>168</v>
      </c>
      <c r="AE61" s="37" t="s">
        <v>151</v>
      </c>
      <c r="AP61" s="150" t="s">
        <v>171</v>
      </c>
    </row>
    <row r="62" spans="1:42" ht="30" customHeight="1" thickBot="1" x14ac:dyDescent="0.25">
      <c r="A62" s="27"/>
      <c r="B62" s="386"/>
      <c r="C62" s="447" t="s">
        <v>352</v>
      </c>
      <c r="D62" s="448"/>
      <c r="E62" s="446">
        <f>AD62</f>
        <v>0.5</v>
      </c>
      <c r="F62" s="438" t="str">
        <f>IF(Y62=0,"-",AP62)</f>
        <v>-</v>
      </c>
      <c r="G62" s="336" t="s">
        <v>142</v>
      </c>
      <c r="H62" s="337"/>
      <c r="I62" s="491"/>
      <c r="J62" s="492"/>
      <c r="K62" s="492"/>
      <c r="L62" s="492"/>
      <c r="M62" s="492"/>
      <c r="N62" s="492"/>
      <c r="O62" s="492"/>
      <c r="P62" s="492"/>
      <c r="Q62" s="493"/>
      <c r="R62" s="204" t="s">
        <v>280</v>
      </c>
      <c r="S62" s="346"/>
      <c r="V62" s="57">
        <f>IF(I62="",0,1)</f>
        <v>0</v>
      </c>
      <c r="W62" s="1">
        <f>IF(S62="",0,1)</f>
        <v>0</v>
      </c>
      <c r="X62" s="38"/>
      <c r="Y62" s="21">
        <f>SUM(V62:W64)</f>
        <v>0</v>
      </c>
      <c r="Z62" s="22" t="s">
        <v>278</v>
      </c>
      <c r="AB62" s="58"/>
      <c r="AC62" s="58"/>
      <c r="AD62" s="42">
        <v>0.5</v>
      </c>
      <c r="AE62" s="24">
        <f>IF(Y62=4,AD62*V$61,0)</f>
        <v>0</v>
      </c>
      <c r="AG62" s="58"/>
      <c r="AH62" s="58"/>
      <c r="AP62" s="153">
        <f>IF(Y62=4,AE62,0)</f>
        <v>0</v>
      </c>
    </row>
    <row r="63" spans="1:42" ht="30" customHeight="1" thickBot="1" x14ac:dyDescent="0.25">
      <c r="A63" s="27"/>
      <c r="B63" s="386"/>
      <c r="C63" s="308"/>
      <c r="D63" s="309"/>
      <c r="E63" s="446"/>
      <c r="F63" s="438"/>
      <c r="G63" s="315" t="s">
        <v>376</v>
      </c>
      <c r="H63" s="370"/>
      <c r="I63" s="371"/>
      <c r="J63" s="372"/>
      <c r="K63" s="372"/>
      <c r="L63" s="372"/>
      <c r="M63" s="12" t="s">
        <v>251</v>
      </c>
      <c r="N63" s="372"/>
      <c r="O63" s="372"/>
      <c r="P63" s="372"/>
      <c r="Q63" s="384"/>
      <c r="R63" s="326" t="s">
        <v>279</v>
      </c>
      <c r="S63" s="440"/>
      <c r="V63" s="1">
        <f>IF(AND(I63&lt;&gt;"",N63&lt;&gt;""),1,0)</f>
        <v>0</v>
      </c>
      <c r="W63" s="45"/>
      <c r="AB63" s="58"/>
      <c r="AC63" s="58"/>
      <c r="AE63" s="58"/>
      <c r="AG63" s="58"/>
      <c r="AH63" s="58"/>
    </row>
    <row r="64" spans="1:42" ht="30" customHeight="1" thickBot="1" x14ac:dyDescent="0.25">
      <c r="A64" s="27"/>
      <c r="B64" s="386"/>
      <c r="C64" s="308"/>
      <c r="D64" s="309"/>
      <c r="E64" s="446"/>
      <c r="F64" s="438"/>
      <c r="G64" s="315" t="s">
        <v>377</v>
      </c>
      <c r="H64" s="370"/>
      <c r="I64" s="371"/>
      <c r="J64" s="372"/>
      <c r="K64" s="372"/>
      <c r="L64" s="372"/>
      <c r="M64" s="12" t="s">
        <v>247</v>
      </c>
      <c r="N64" s="372"/>
      <c r="O64" s="372"/>
      <c r="P64" s="372"/>
      <c r="Q64" s="384"/>
      <c r="R64" s="326"/>
      <c r="S64" s="440"/>
      <c r="V64" s="1">
        <f>IF(AND(I64&lt;&gt;"",N64&lt;&gt;""),1,0)</f>
        <v>0</v>
      </c>
      <c r="W64" s="59"/>
      <c r="AB64" s="58"/>
      <c r="AC64" s="58"/>
      <c r="AE64" s="58"/>
      <c r="AG64" s="58"/>
      <c r="AH64" s="58"/>
    </row>
    <row r="65" spans="1:51" ht="30" customHeight="1" thickBot="1" x14ac:dyDescent="0.25">
      <c r="A65" s="27"/>
      <c r="B65" s="386"/>
      <c r="C65" s="449"/>
      <c r="D65" s="450"/>
      <c r="E65" s="446"/>
      <c r="F65" s="438"/>
      <c r="G65" s="340" t="s">
        <v>216</v>
      </c>
      <c r="H65" s="341"/>
      <c r="I65" s="333"/>
      <c r="J65" s="334"/>
      <c r="K65" s="334"/>
      <c r="L65" s="334"/>
      <c r="M65" s="334"/>
      <c r="N65" s="334"/>
      <c r="O65" s="334"/>
      <c r="P65" s="334"/>
      <c r="Q65" s="335"/>
      <c r="R65" s="327"/>
      <c r="S65" s="347"/>
      <c r="V65" s="47"/>
      <c r="W65" s="48"/>
      <c r="AB65" s="58"/>
      <c r="AC65" s="58"/>
      <c r="AD65" s="37" t="s">
        <v>168</v>
      </c>
      <c r="AE65" s="37" t="s">
        <v>151</v>
      </c>
      <c r="AG65" s="58"/>
      <c r="AH65" s="58"/>
      <c r="AP65" s="150" t="s">
        <v>171</v>
      </c>
    </row>
    <row r="66" spans="1:51" ht="34.950000000000003" customHeight="1" thickBot="1" x14ac:dyDescent="0.25">
      <c r="A66" s="27"/>
      <c r="B66" s="386"/>
      <c r="C66" s="314" t="s">
        <v>353</v>
      </c>
      <c r="D66" s="373"/>
      <c r="E66" s="444">
        <f>AD66</f>
        <v>0.75</v>
      </c>
      <c r="F66" s="445" t="str">
        <f>IF(Y66=0,"-",AP66)</f>
        <v>-</v>
      </c>
      <c r="G66" s="315" t="s">
        <v>256</v>
      </c>
      <c r="H66" s="370"/>
      <c r="I66" s="13" t="s">
        <v>248</v>
      </c>
      <c r="J66" s="222"/>
      <c r="K66" s="14" t="s">
        <v>249</v>
      </c>
      <c r="L66" s="459"/>
      <c r="M66" s="452"/>
      <c r="N66" s="14" t="s">
        <v>249</v>
      </c>
      <c r="O66" s="451"/>
      <c r="P66" s="452"/>
      <c r="Q66" s="49" t="s">
        <v>250</v>
      </c>
      <c r="R66" s="472" t="s">
        <v>388</v>
      </c>
      <c r="S66" s="346"/>
      <c r="V66" s="1">
        <f>IF(AND(J66&lt;&gt;"",L66&lt;&gt;"",O66&lt;&gt;""),1,0)</f>
        <v>0</v>
      </c>
      <c r="W66" s="1">
        <f>IF(S66="",0,1)</f>
        <v>0</v>
      </c>
      <c r="X66" s="38"/>
      <c r="Y66" s="21">
        <f>SUM(V66:W68)</f>
        <v>0</v>
      </c>
      <c r="Z66" s="22" t="s">
        <v>390</v>
      </c>
      <c r="AB66" s="273" t="s">
        <v>308</v>
      </c>
      <c r="AC66" s="37">
        <f>IF(S68=AB66,1,0)</f>
        <v>0</v>
      </c>
      <c r="AD66" s="42">
        <v>0.75</v>
      </c>
      <c r="AE66" s="24">
        <f>IF(Y66=5,AD66*V$61*AC66,0)</f>
        <v>0</v>
      </c>
      <c r="AG66" s="58"/>
      <c r="AH66" s="58"/>
      <c r="AP66" s="153">
        <f>IF(Y66=5,MAX(AE66:AE67),0)</f>
        <v>0</v>
      </c>
    </row>
    <row r="67" spans="1:51" ht="34.950000000000003" customHeight="1" thickBot="1" x14ac:dyDescent="0.25">
      <c r="A67" s="27"/>
      <c r="B67" s="386"/>
      <c r="C67" s="374"/>
      <c r="D67" s="375"/>
      <c r="E67" s="444"/>
      <c r="F67" s="445"/>
      <c r="G67" s="342" t="s">
        <v>306</v>
      </c>
      <c r="H67" s="343"/>
      <c r="I67" s="371"/>
      <c r="J67" s="372"/>
      <c r="K67" s="372"/>
      <c r="L67" s="372"/>
      <c r="M67" s="12" t="s">
        <v>252</v>
      </c>
      <c r="N67" s="372"/>
      <c r="O67" s="372"/>
      <c r="P67" s="372"/>
      <c r="Q67" s="384"/>
      <c r="R67" s="473"/>
      <c r="S67" s="347"/>
      <c r="V67" s="1">
        <f>IF(AND(I67&lt;&gt;"",N67&lt;&gt;""),1,0)</f>
        <v>0</v>
      </c>
      <c r="W67" s="1">
        <f>IF(S68="-",0,1)</f>
        <v>0</v>
      </c>
      <c r="AB67" s="273" t="s">
        <v>309</v>
      </c>
      <c r="AC67" s="37">
        <f>IF(S68=AB67,1,0)</f>
        <v>0</v>
      </c>
      <c r="AD67" s="42">
        <v>0.5</v>
      </c>
      <c r="AE67" s="24">
        <f>IF(Y66=5,AD67*V$61*AC67,0)</f>
        <v>0</v>
      </c>
      <c r="AG67" s="58"/>
      <c r="AH67" s="58"/>
    </row>
    <row r="68" spans="1:51" ht="34.950000000000003" customHeight="1" thickBot="1" x14ac:dyDescent="0.25">
      <c r="A68" s="27"/>
      <c r="B68" s="387"/>
      <c r="C68" s="376"/>
      <c r="D68" s="377"/>
      <c r="E68" s="444"/>
      <c r="F68" s="445"/>
      <c r="G68" s="315" t="s">
        <v>305</v>
      </c>
      <c r="H68" s="370"/>
      <c r="I68" s="371"/>
      <c r="J68" s="372"/>
      <c r="K68" s="372"/>
      <c r="L68" s="372"/>
      <c r="M68" s="12" t="s">
        <v>253</v>
      </c>
      <c r="N68" s="372"/>
      <c r="O68" s="372"/>
      <c r="P68" s="372"/>
      <c r="Q68" s="384"/>
      <c r="R68" s="274" t="s">
        <v>389</v>
      </c>
      <c r="S68" s="272" t="s">
        <v>172</v>
      </c>
      <c r="V68" s="1">
        <f>IF(AND(I68&lt;&gt;"",N68&lt;&gt;""),1,0)</f>
        <v>0</v>
      </c>
      <c r="W68" s="59"/>
      <c r="AB68" s="58"/>
      <c r="AC68" s="58"/>
      <c r="AE68" s="58"/>
      <c r="AG68" s="58"/>
      <c r="AH68" s="58"/>
    </row>
    <row r="69" spans="1:51" ht="19.95" customHeight="1" x14ac:dyDescent="0.2">
      <c r="A69" s="27"/>
      <c r="B69" s="378" t="s">
        <v>329</v>
      </c>
      <c r="C69" s="378"/>
      <c r="D69" s="378"/>
      <c r="E69" s="378"/>
      <c r="F69" s="378"/>
      <c r="G69" s="378"/>
      <c r="H69" s="378"/>
      <c r="I69" s="378"/>
      <c r="J69" s="378"/>
      <c r="K69" s="378"/>
      <c r="L69" s="378"/>
      <c r="M69" s="378"/>
      <c r="N69" s="378"/>
      <c r="O69" s="378"/>
      <c r="P69" s="378"/>
      <c r="Q69" s="378"/>
      <c r="R69" s="378"/>
      <c r="S69" s="378"/>
    </row>
    <row r="70" spans="1:51" s="249" customFormat="1" ht="16.95" customHeight="1" x14ac:dyDescent="0.2">
      <c r="A70" s="248"/>
      <c r="B70" s="361" t="s">
        <v>330</v>
      </c>
      <c r="C70" s="361"/>
      <c r="D70" s="361"/>
      <c r="E70" s="361"/>
      <c r="F70" s="361"/>
      <c r="G70" s="361"/>
      <c r="H70" s="361"/>
      <c r="I70" s="361"/>
      <c r="J70" s="361"/>
      <c r="K70" s="361"/>
      <c r="L70" s="361"/>
      <c r="M70" s="361"/>
      <c r="N70" s="361"/>
      <c r="O70" s="361"/>
      <c r="P70" s="361"/>
      <c r="Q70" s="361"/>
      <c r="R70" s="361"/>
      <c r="S70" s="361"/>
      <c r="AG70" s="248"/>
    </row>
    <row r="71" spans="1:51" s="249" customFormat="1" ht="16.95" customHeight="1" x14ac:dyDescent="0.2">
      <c r="A71" s="248"/>
      <c r="B71" s="361" t="s">
        <v>331</v>
      </c>
      <c r="C71" s="361"/>
      <c r="D71" s="361"/>
      <c r="E71" s="361"/>
      <c r="F71" s="361"/>
      <c r="G71" s="361"/>
      <c r="H71" s="361"/>
      <c r="I71" s="361"/>
      <c r="J71" s="361"/>
      <c r="K71" s="361"/>
      <c r="L71" s="361"/>
      <c r="M71" s="361"/>
      <c r="N71" s="361"/>
      <c r="O71" s="361"/>
      <c r="P71" s="361"/>
      <c r="Q71" s="361"/>
      <c r="R71" s="361"/>
      <c r="S71" s="361"/>
      <c r="AG71" s="248"/>
      <c r="AH71" s="248"/>
      <c r="AI71" s="248"/>
    </row>
    <row r="72" spans="1:51" s="249" customFormat="1" ht="16.95" customHeight="1" x14ac:dyDescent="0.2">
      <c r="A72" s="248"/>
      <c r="B72" s="361" t="s">
        <v>374</v>
      </c>
      <c r="C72" s="361"/>
      <c r="D72" s="361"/>
      <c r="E72" s="361"/>
      <c r="F72" s="361"/>
      <c r="G72" s="361"/>
      <c r="H72" s="361"/>
      <c r="I72" s="361"/>
      <c r="J72" s="361"/>
      <c r="K72" s="361"/>
      <c r="L72" s="361"/>
      <c r="M72" s="361"/>
      <c r="N72" s="361"/>
      <c r="O72" s="361"/>
      <c r="P72" s="361"/>
      <c r="Q72" s="361"/>
      <c r="R72" s="361"/>
      <c r="S72" s="361"/>
      <c r="AC72" s="250"/>
      <c r="AD72" s="251"/>
      <c r="AE72" s="252"/>
      <c r="AF72" s="253"/>
      <c r="AG72" s="248"/>
      <c r="AM72" s="254"/>
    </row>
    <row r="73" spans="1:51" s="249" customFormat="1" ht="24" customHeight="1" x14ac:dyDescent="0.2">
      <c r="A73" s="248"/>
      <c r="B73" s="486" t="s">
        <v>354</v>
      </c>
      <c r="C73" s="486"/>
      <c r="D73" s="486"/>
      <c r="E73" s="486"/>
      <c r="F73" s="486"/>
      <c r="G73" s="486"/>
      <c r="H73" s="486"/>
      <c r="I73" s="486"/>
      <c r="J73" s="486"/>
      <c r="K73" s="486"/>
      <c r="L73" s="486"/>
      <c r="M73" s="486"/>
      <c r="N73" s="486"/>
      <c r="O73" s="486"/>
      <c r="P73" s="486"/>
      <c r="Q73" s="486"/>
      <c r="R73" s="486"/>
      <c r="S73" s="486"/>
      <c r="AC73" s="250"/>
      <c r="AD73" s="251"/>
      <c r="AE73" s="252"/>
      <c r="AF73" s="253"/>
      <c r="AG73" s="248"/>
      <c r="AM73" s="254"/>
    </row>
    <row r="74" spans="1:51"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1" ht="16.5" customHeight="1" thickBot="1" x14ac:dyDescent="0.25">
      <c r="A75" s="27"/>
      <c r="B75" s="437" t="s">
        <v>143</v>
      </c>
      <c r="C75" s="437"/>
      <c r="D75" s="437"/>
      <c r="E75" s="360" t="str">
        <f>E49</f>
        <v>第25-01135-0006号 自治会館受変電設備改修工事</v>
      </c>
      <c r="F75" s="360"/>
      <c r="G75" s="360"/>
      <c r="H75" s="360"/>
      <c r="I75" s="360"/>
      <c r="J75" s="360"/>
      <c r="K75" s="360"/>
      <c r="L75" s="360"/>
      <c r="M75" s="360"/>
      <c r="N75" s="360"/>
      <c r="O75" s="360"/>
      <c r="P75" s="360"/>
      <c r="Q75" s="360"/>
      <c r="R75" s="360"/>
      <c r="AE75" s="55"/>
      <c r="AF75" s="56"/>
      <c r="AJ75" s="1">
        <v>0</v>
      </c>
      <c r="AK75" s="47"/>
      <c r="AL75" s="47"/>
      <c r="AM75" s="23">
        <v>0</v>
      </c>
    </row>
    <row r="76" spans="1:51"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346</v>
      </c>
      <c r="Z76" s="11" t="s">
        <v>271</v>
      </c>
      <c r="AA76" s="11"/>
      <c r="AB76" s="11" t="s">
        <v>151</v>
      </c>
      <c r="AE76" s="61"/>
      <c r="AF76" s="62"/>
      <c r="AG76" s="61"/>
      <c r="AJ76" s="1">
        <v>42</v>
      </c>
      <c r="AK76" s="1" t="s">
        <v>148</v>
      </c>
      <c r="AL76" s="1" t="s">
        <v>174</v>
      </c>
      <c r="AM76" s="23">
        <v>6</v>
      </c>
      <c r="AN76" s="27"/>
      <c r="AO76" s="27"/>
      <c r="AP76" s="27"/>
    </row>
    <row r="77" spans="1:51" ht="22.5" customHeight="1" thickBot="1" x14ac:dyDescent="0.25">
      <c r="A77" s="27"/>
      <c r="B77" s="388" t="s">
        <v>0</v>
      </c>
      <c r="C77" s="388"/>
      <c r="D77" s="388"/>
      <c r="E77" s="33" t="s">
        <v>173</v>
      </c>
      <c r="F77" s="34" t="s">
        <v>3</v>
      </c>
      <c r="G77" s="304" t="s">
        <v>333</v>
      </c>
      <c r="H77" s="305"/>
      <c r="I77" s="305"/>
      <c r="J77" s="305"/>
      <c r="K77" s="305"/>
      <c r="L77" s="305"/>
      <c r="M77" s="305"/>
      <c r="N77" s="305"/>
      <c r="O77" s="305"/>
      <c r="P77" s="305"/>
      <c r="Q77" s="305"/>
      <c r="R77" s="305"/>
      <c r="S77" s="306"/>
      <c r="V77" s="57">
        <f>IF(OR(R78=リスト!O4),1,0)</f>
        <v>0</v>
      </c>
      <c r="W77" s="39">
        <f>V76</f>
        <v>0</v>
      </c>
      <c r="X77" s="21">
        <f>SUM(V77:W77)</f>
        <v>0</v>
      </c>
      <c r="Y77" s="22" t="s">
        <v>355</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X77" s="27"/>
    </row>
    <row r="78" spans="1:51" ht="33" customHeight="1" thickBot="1" x14ac:dyDescent="0.25">
      <c r="A78" s="27"/>
      <c r="B78" s="385" t="s">
        <v>194</v>
      </c>
      <c r="C78" s="344" t="s">
        <v>257</v>
      </c>
      <c r="D78" s="430"/>
      <c r="E78" s="121">
        <f>Z77</f>
        <v>0.5</v>
      </c>
      <c r="F78" s="122" t="str">
        <f>AQ80</f>
        <v>-</v>
      </c>
      <c r="G78" s="344" t="s">
        <v>382</v>
      </c>
      <c r="H78" s="366"/>
      <c r="I78" s="379" t="s">
        <v>339</v>
      </c>
      <c r="J78" s="380"/>
      <c r="K78" s="362"/>
      <c r="L78" s="363"/>
      <c r="M78" s="363"/>
      <c r="N78" s="363"/>
      <c r="O78" s="363"/>
      <c r="P78" s="363"/>
      <c r="Q78" s="364"/>
      <c r="R78" s="363" t="s">
        <v>172</v>
      </c>
      <c r="S78" s="364"/>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t="str">
        <f>IF('1.基本データ(このシートは削除しないこと！)'!H16=10,AF78,"-")</f>
        <v>-</v>
      </c>
      <c r="AJ78" s="1">
        <v>40</v>
      </c>
      <c r="AK78" s="1" t="s">
        <v>148</v>
      </c>
      <c r="AL78" s="1" t="s">
        <v>5</v>
      </c>
      <c r="AM78" s="23">
        <v>3</v>
      </c>
    </row>
    <row r="79" spans="1:51" ht="33" customHeight="1" thickBot="1" x14ac:dyDescent="0.25">
      <c r="A79" s="27"/>
      <c r="B79" s="386"/>
      <c r="C79" s="490" t="s">
        <v>366</v>
      </c>
      <c r="D79" s="395"/>
      <c r="E79" s="168">
        <f>AE77</f>
        <v>1</v>
      </c>
      <c r="F79" s="166" t="str">
        <f>AQ81</f>
        <v>-</v>
      </c>
      <c r="G79" s="342" t="s">
        <v>365</v>
      </c>
      <c r="H79" s="365"/>
      <c r="I79" s="300" t="s">
        <v>327</v>
      </c>
      <c r="J79" s="300"/>
      <c r="K79" s="294" t="s">
        <v>172</v>
      </c>
      <c r="L79" s="295"/>
      <c r="M79" s="295"/>
      <c r="N79" s="295"/>
      <c r="O79" s="295"/>
      <c r="P79" s="295"/>
      <c r="Q79" s="295"/>
      <c r="R79" s="295"/>
      <c r="S79" s="296"/>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Q79" s="150" t="s">
        <v>171</v>
      </c>
      <c r="AS79" s="27" t="s">
        <v>198</v>
      </c>
      <c r="AY79" s="27"/>
    </row>
    <row r="80" spans="1:51" ht="32.1" customHeight="1" thickBot="1" x14ac:dyDescent="0.25">
      <c r="A80" s="27"/>
      <c r="B80" s="386"/>
      <c r="C80" s="373" t="s">
        <v>269</v>
      </c>
      <c r="D80" s="389"/>
      <c r="E80" s="357">
        <f>AM76</f>
        <v>6</v>
      </c>
      <c r="F80" s="483" t="str">
        <f>IF(OR(K81="-",K82="-"),"-",AQ87)</f>
        <v>-</v>
      </c>
      <c r="G80" s="307" t="s">
        <v>217</v>
      </c>
      <c r="H80" s="308"/>
      <c r="I80" s="308"/>
      <c r="J80" s="308"/>
      <c r="K80" s="308"/>
      <c r="L80" s="308"/>
      <c r="M80" s="308"/>
      <c r="N80" s="308"/>
      <c r="O80" s="308"/>
      <c r="P80" s="308"/>
      <c r="Q80" s="309"/>
      <c r="R80" s="353" t="s">
        <v>383</v>
      </c>
      <c r="S80" s="354"/>
      <c r="Z80" s="149" t="s">
        <v>235</v>
      </c>
      <c r="AA80" s="148"/>
      <c r="AB80" s="148"/>
      <c r="AC80" s="148"/>
      <c r="AE80" s="149" t="s">
        <v>152</v>
      </c>
      <c r="AF80" s="149"/>
      <c r="AG80" s="149"/>
      <c r="AJ80" s="1">
        <v>31</v>
      </c>
      <c r="AK80" s="1" t="s">
        <v>149</v>
      </c>
      <c r="AL80" s="1" t="s">
        <v>27</v>
      </c>
      <c r="AM80" s="23">
        <v>2.5</v>
      </c>
      <c r="AO80" s="71" t="s">
        <v>206</v>
      </c>
      <c r="AQ80" s="159" t="str">
        <f>IF(V76=1,MAX(AB77:AB78),"-")</f>
        <v>-</v>
      </c>
      <c r="AS80" s="11" t="s">
        <v>220</v>
      </c>
      <c r="AT80" s="124" t="s">
        <v>152</v>
      </c>
      <c r="AY80" s="27"/>
    </row>
    <row r="81" spans="1:51" ht="32.1" customHeight="1" thickBot="1" x14ac:dyDescent="0.25">
      <c r="A81" s="27"/>
      <c r="B81" s="386"/>
      <c r="C81" s="375"/>
      <c r="D81" s="390"/>
      <c r="E81" s="358"/>
      <c r="F81" s="484"/>
      <c r="G81" s="368" t="s">
        <v>258</v>
      </c>
      <c r="H81" s="342"/>
      <c r="I81" s="300" t="s">
        <v>327</v>
      </c>
      <c r="J81" s="300"/>
      <c r="K81" s="297" t="s">
        <v>172</v>
      </c>
      <c r="L81" s="298"/>
      <c r="M81" s="298"/>
      <c r="N81" s="298"/>
      <c r="O81" s="298"/>
      <c r="P81" s="298"/>
      <c r="Q81" s="299"/>
      <c r="R81" s="353"/>
      <c r="S81" s="354"/>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Q81" s="159" t="str">
        <f>IF(Y79=1,MAX(AG77:AG79),"-")</f>
        <v>-</v>
      </c>
      <c r="AS81" s="26">
        <f>IF($W83="同一市町村",1,10)</f>
        <v>10</v>
      </c>
      <c r="AT81" s="26">
        <f>IF($W86="同一市町村",1,10)</f>
        <v>10</v>
      </c>
      <c r="AW81" s="26">
        <f>IF(OR(W83="同一市町村",W83="同一土木"),1,0)</f>
        <v>0</v>
      </c>
      <c r="AX81" s="27" t="s">
        <v>286</v>
      </c>
      <c r="AY81" s="27"/>
    </row>
    <row r="82" spans="1:51" ht="32.1" customHeight="1" thickBot="1" x14ac:dyDescent="0.25">
      <c r="A82" s="27"/>
      <c r="B82" s="386"/>
      <c r="C82" s="375"/>
      <c r="D82" s="390"/>
      <c r="E82" s="358"/>
      <c r="F82" s="484"/>
      <c r="G82" s="369" t="s">
        <v>259</v>
      </c>
      <c r="H82" s="336"/>
      <c r="I82" s="300" t="s">
        <v>327</v>
      </c>
      <c r="J82" s="300"/>
      <c r="K82" s="362" t="s">
        <v>172</v>
      </c>
      <c r="L82" s="363"/>
      <c r="M82" s="363"/>
      <c r="N82" s="363"/>
      <c r="O82" s="363"/>
      <c r="P82" s="363"/>
      <c r="Q82" s="364"/>
      <c r="R82" s="353"/>
      <c r="S82" s="354"/>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S82" s="26">
        <f>IF($W83="同一土木",2,10)</f>
        <v>10</v>
      </c>
      <c r="AT82" s="74">
        <f>IF($W86="同一土木",2,10)</f>
        <v>10</v>
      </c>
      <c r="AU82" s="75"/>
      <c r="AV82" s="27"/>
      <c r="AW82" s="26">
        <f>IF(OR(AG82=41,AG83=31),1,0)</f>
        <v>0</v>
      </c>
      <c r="AX82" s="27" t="s">
        <v>287</v>
      </c>
      <c r="AY82" s="27"/>
    </row>
    <row r="83" spans="1:51" ht="32.1" customHeight="1" thickBot="1" x14ac:dyDescent="0.25">
      <c r="A83" s="27"/>
      <c r="B83" s="386"/>
      <c r="C83" s="375"/>
      <c r="D83" s="390"/>
      <c r="E83" s="358"/>
      <c r="F83" s="484"/>
      <c r="G83" s="307" t="s">
        <v>233</v>
      </c>
      <c r="H83" s="308"/>
      <c r="I83" s="308"/>
      <c r="J83" s="308"/>
      <c r="K83" s="308"/>
      <c r="L83" s="308"/>
      <c r="M83" s="308"/>
      <c r="N83" s="308"/>
      <c r="O83" s="308"/>
      <c r="P83" s="308"/>
      <c r="Q83" s="309"/>
      <c r="R83" s="353"/>
      <c r="S83" s="354"/>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S83" s="26">
        <f>IF($W83="同一建設",3,10)</f>
        <v>10</v>
      </c>
      <c r="AT83" s="26">
        <f>IF($W86="同一建設",3,10)</f>
        <v>10</v>
      </c>
      <c r="AW83" s="175">
        <f>IF(OR(AW81=1,AW82=1),1,0)</f>
        <v>0</v>
      </c>
      <c r="AX83" s="27" t="s">
        <v>288</v>
      </c>
    </row>
    <row r="84" spans="1:51" ht="32.1" customHeight="1" thickBot="1" x14ac:dyDescent="0.25">
      <c r="A84" s="27"/>
      <c r="B84" s="386"/>
      <c r="C84" s="375"/>
      <c r="D84" s="390"/>
      <c r="E84" s="358"/>
      <c r="F84" s="484"/>
      <c r="G84" s="368" t="s">
        <v>260</v>
      </c>
      <c r="H84" s="342"/>
      <c r="I84" s="300" t="s">
        <v>327</v>
      </c>
      <c r="J84" s="300"/>
      <c r="K84" s="297" t="s">
        <v>172</v>
      </c>
      <c r="L84" s="298"/>
      <c r="M84" s="298"/>
      <c r="N84" s="298"/>
      <c r="O84" s="298"/>
      <c r="P84" s="298"/>
      <c r="Q84" s="299"/>
      <c r="R84" s="353"/>
      <c r="S84" s="354"/>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S84" s="26">
        <f>IF($W83="県内",4,10)</f>
        <v>10</v>
      </c>
      <c r="AT84" s="26">
        <f>IF($W86="県内",4,10)</f>
        <v>10</v>
      </c>
    </row>
    <row r="85" spans="1:51" ht="32.1" customHeight="1" thickTop="1" thickBot="1" x14ac:dyDescent="0.25">
      <c r="A85" s="27"/>
      <c r="B85" s="386"/>
      <c r="C85" s="375"/>
      <c r="D85" s="390"/>
      <c r="E85" s="358"/>
      <c r="F85" s="484"/>
      <c r="G85" s="367" t="s">
        <v>261</v>
      </c>
      <c r="H85" s="315"/>
      <c r="I85" s="300" t="s">
        <v>327</v>
      </c>
      <c r="J85" s="300"/>
      <c r="K85" s="362" t="s">
        <v>172</v>
      </c>
      <c r="L85" s="363"/>
      <c r="M85" s="363"/>
      <c r="N85" s="363"/>
      <c r="O85" s="363"/>
      <c r="P85" s="363"/>
      <c r="Q85" s="364"/>
      <c r="R85" s="353"/>
      <c r="S85" s="354"/>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f>IF(AND('1.基本データ(このシートは削除しないこと！)'!H17=2,AC81&gt;=30),VLOOKUP(AC81,AJ75:AM81,4,0),0)</f>
        <v>0</v>
      </c>
      <c r="AP85" s="23">
        <f>IF(AND('1.基本データ(このシートは削除しないこと！)'!H17=2,AG81&gt;=30),VLOOKUP(AG81,AJ75:AM81,4,0),0)</f>
        <v>0</v>
      </c>
      <c r="AS85" s="82">
        <f>MIN(AS81:AS84)</f>
        <v>10</v>
      </c>
      <c r="AT85" s="82">
        <f>MIN(AT81:AT84)</f>
        <v>10</v>
      </c>
      <c r="AU85" s="27"/>
      <c r="AV85" s="83"/>
    </row>
    <row r="86" spans="1:51" ht="19.95" customHeight="1" thickBot="1" x14ac:dyDescent="0.25">
      <c r="A86" s="27"/>
      <c r="B86" s="386"/>
      <c r="C86" s="375"/>
      <c r="D86" s="390"/>
      <c r="E86" s="358"/>
      <c r="F86" s="484"/>
      <c r="G86" s="15" t="s">
        <v>262</v>
      </c>
      <c r="H86" s="16"/>
      <c r="I86" s="16"/>
      <c r="J86" s="17"/>
      <c r="K86" s="487" t="str">
        <f>IF(K81="-","-",W87)</f>
        <v>-</v>
      </c>
      <c r="L86" s="488"/>
      <c r="M86" s="488"/>
      <c r="N86" s="488"/>
      <c r="O86" s="488"/>
      <c r="P86" s="488"/>
      <c r="Q86" s="489"/>
      <c r="R86" s="353"/>
      <c r="S86" s="354"/>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f>IF(AND('1.基本データ(このシートは削除しないこと！)'!H17=3,AC81&gt;=20),VLOOKUP(AC81,AJ75:AM84,4,0),0)</f>
        <v>0</v>
      </c>
      <c r="AP86" s="23">
        <f>IF(AND('1.基本データ(このシートは削除しないこと！)'!H17=3,AG81&gt;=20),VLOOKUP(AG81,AJ75:AM84,4,0),0)</f>
        <v>0</v>
      </c>
      <c r="AQ86" s="154" t="s">
        <v>171</v>
      </c>
      <c r="AT86" s="26">
        <f>MIN(AS85:AT85)</f>
        <v>10</v>
      </c>
      <c r="AU86" s="27" t="s">
        <v>199</v>
      </c>
    </row>
    <row r="87" spans="1:51" ht="19.95" customHeight="1" thickBot="1" x14ac:dyDescent="0.25">
      <c r="A87" s="27"/>
      <c r="B87" s="387"/>
      <c r="C87" s="377"/>
      <c r="D87" s="391"/>
      <c r="E87" s="359"/>
      <c r="F87" s="485"/>
      <c r="G87" s="18"/>
      <c r="H87" s="19"/>
      <c r="I87" s="19"/>
      <c r="J87" s="20" t="s">
        <v>340</v>
      </c>
      <c r="K87" s="348" t="str">
        <f>IF(K82="-","-",X87)</f>
        <v>-</v>
      </c>
      <c r="L87" s="349"/>
      <c r="M87" s="349"/>
      <c r="N87" s="349"/>
      <c r="O87" s="349"/>
      <c r="P87" s="349"/>
      <c r="Q87" s="350"/>
      <c r="R87" s="355"/>
      <c r="S87" s="356"/>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f>IF(AND('1.基本データ(このシートは削除しないこと！)'!H17=4,AC81&gt;=10),VLOOKUP(AC81,AJ75:AM87,4,0),0)</f>
        <v>0</v>
      </c>
      <c r="AP87" s="23">
        <f>IF(AND('1.基本データ(このシートは削除しないこと！)'!H17=4,AG81&gt;=10),VLOOKUP(AG81,AJ75:AM87,4,0),0)</f>
        <v>0</v>
      </c>
      <c r="AQ87" s="180">
        <f>MAX(AO85:AP87)</f>
        <v>0</v>
      </c>
      <c r="AT87" s="21">
        <f>IF(AT86&lt;='1.基本データ(このシートは削除しないこと！)'!H17,1,0)</f>
        <v>0</v>
      </c>
      <c r="AU87" t="s">
        <v>221</v>
      </c>
    </row>
    <row r="88" spans="1:51" ht="24" customHeight="1" thickBot="1" x14ac:dyDescent="0.25">
      <c r="A88" s="27"/>
      <c r="B88" s="351"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351"/>
      <c r="D88" s="351"/>
      <c r="E88" s="351"/>
      <c r="F88" s="351"/>
      <c r="G88" s="351"/>
      <c r="H88" s="351"/>
      <c r="I88" s="352"/>
      <c r="J88" s="352"/>
      <c r="K88" s="352"/>
      <c r="L88" s="352"/>
      <c r="M88" s="352"/>
      <c r="N88" s="352"/>
      <c r="O88" s="352"/>
      <c r="P88" s="352"/>
      <c r="Q88" s="352"/>
      <c r="R88" s="352"/>
      <c r="S88" s="351"/>
      <c r="T88" s="84"/>
      <c r="U88" s="84"/>
      <c r="W88" s="63"/>
      <c r="X88" s="88"/>
      <c r="Y88" s="88"/>
      <c r="Z88" s="89"/>
      <c r="AG88" s="71"/>
      <c r="AR88" t="s">
        <v>222</v>
      </c>
    </row>
    <row r="89" spans="1:51" ht="32.1" customHeight="1" thickBot="1" x14ac:dyDescent="0.25">
      <c r="A89" s="27"/>
      <c r="B89" s="388" t="s">
        <v>0</v>
      </c>
      <c r="C89" s="388"/>
      <c r="D89" s="388"/>
      <c r="E89" s="33" t="s">
        <v>173</v>
      </c>
      <c r="F89" s="34" t="s">
        <v>3</v>
      </c>
      <c r="G89" s="310" t="s">
        <v>341</v>
      </c>
      <c r="H89" s="311"/>
      <c r="I89" s="311"/>
      <c r="J89" s="311"/>
      <c r="K89" s="311"/>
      <c r="L89" s="311"/>
      <c r="M89" s="311"/>
      <c r="N89" s="311"/>
      <c r="O89" s="311"/>
      <c r="P89" s="311"/>
      <c r="Q89" s="312"/>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183" t="s">
        <v>284</v>
      </c>
      <c r="AQ89" s="154" t="s">
        <v>171</v>
      </c>
      <c r="AS89" s="21">
        <f>IF(AS85&lt;'1.基本データ(このシートは削除しないこと！)'!H17+1,1,0)</f>
        <v>0</v>
      </c>
      <c r="AT89" t="s">
        <v>200</v>
      </c>
    </row>
    <row r="90" spans="1:51" ht="34.950000000000003" customHeight="1" thickBot="1" x14ac:dyDescent="0.25">
      <c r="A90" s="27"/>
      <c r="B90" s="396" t="s">
        <v>194</v>
      </c>
      <c r="C90" s="338" t="s">
        <v>266</v>
      </c>
      <c r="D90" s="395"/>
      <c r="E90" s="97">
        <f>AG90</f>
        <v>1.25</v>
      </c>
      <c r="F90" s="163" t="str">
        <f>IF(OR($Y$87=0,V90=0),"-",AQ90)</f>
        <v>-</v>
      </c>
      <c r="G90" s="315" t="s">
        <v>228</v>
      </c>
      <c r="H90" s="316"/>
      <c r="I90" s="316"/>
      <c r="J90" s="316"/>
      <c r="K90" s="316"/>
      <c r="L90" s="316"/>
      <c r="M90" s="316"/>
      <c r="N90" s="316"/>
      <c r="O90" s="316"/>
      <c r="P90" s="316"/>
      <c r="Q90" s="316"/>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f>IF('1.基本データ(このシートは削除しないこと！)'!$H$17=2,MAX(AK90:AL90),0)</f>
        <v>0</v>
      </c>
      <c r="AO90" s="42">
        <f>IF('1.基本データ(このシートは削除しないこと！)'!$H$17=3,MAX(AK90:AM90),0)</f>
        <v>0</v>
      </c>
      <c r="AP90" s="185">
        <f>IF(AND('1.基本データ(このシートは削除しないこと！)'!$H$17=4,AF90="県内"),W90*AI90,0)</f>
        <v>0</v>
      </c>
      <c r="AQ90" s="155" t="str">
        <f>IF(AW83=1,MAX(AN90:AP90),"-")</f>
        <v>-</v>
      </c>
    </row>
    <row r="91" spans="1:51" ht="34.950000000000003" customHeight="1" thickBot="1" x14ac:dyDescent="0.25">
      <c r="A91" s="27"/>
      <c r="B91" s="396"/>
      <c r="C91" s="313" t="s">
        <v>265</v>
      </c>
      <c r="D91" s="373"/>
      <c r="E91" s="164">
        <f>AG91</f>
        <v>0.5</v>
      </c>
      <c r="F91" s="192" t="str">
        <f>IF((V91=0),"-",AQ91)</f>
        <v>-</v>
      </c>
      <c r="G91" s="313" t="s">
        <v>229</v>
      </c>
      <c r="H91" s="314"/>
      <c r="I91" s="314"/>
      <c r="J91" s="314"/>
      <c r="K91" s="314"/>
      <c r="L91" s="314"/>
      <c r="M91" s="314"/>
      <c r="N91" s="314"/>
      <c r="O91" s="314"/>
      <c r="P91" s="314"/>
      <c r="Q91" s="314"/>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f>IF('1.基本データ(このシートは削除しないこと！)'!$H$17=2,MAX(AK91:AM91),0)</f>
        <v>0</v>
      </c>
      <c r="AO91" s="42">
        <f>IF('1.基本データ(このシートは削除しないこと！)'!$H$17=3,MAX(AK91:AM91),0)</f>
        <v>0</v>
      </c>
      <c r="AP91" s="185">
        <f>IF(AND('1.基本データ(このシートは削除しないこと！)'!$H$17=4,AF91="県内"),W91*AG91,0)</f>
        <v>0</v>
      </c>
      <c r="AQ91" s="156">
        <f>MAX(AN91:AP91)</f>
        <v>0</v>
      </c>
    </row>
    <row r="92" spans="1:51" ht="72" customHeight="1" thickBot="1" x14ac:dyDescent="0.25">
      <c r="A92" s="27"/>
      <c r="B92" s="396"/>
      <c r="C92" s="405" t="s">
        <v>240</v>
      </c>
      <c r="D92" s="414" t="s">
        <v>385</v>
      </c>
      <c r="E92" s="420">
        <v>1.75</v>
      </c>
      <c r="F92" s="417" t="str">
        <f>IF(OR($Y$87=0,AQ92=0,SUM(V92:V94)=0),"-",AU92)</f>
        <v>-</v>
      </c>
      <c r="G92" s="431" t="s">
        <v>386</v>
      </c>
      <c r="H92" s="433" t="s">
        <v>334</v>
      </c>
      <c r="I92" s="433"/>
      <c r="J92" s="433"/>
      <c r="K92" s="433"/>
      <c r="L92" s="433"/>
      <c r="M92" s="433"/>
      <c r="N92" s="433"/>
      <c r="O92" s="433"/>
      <c r="P92" s="433"/>
      <c r="Q92" s="434"/>
      <c r="R92" s="193" t="s">
        <v>172</v>
      </c>
      <c r="S92" s="301" t="s">
        <v>172</v>
      </c>
      <c r="T92" s="104"/>
      <c r="U92" s="104"/>
      <c r="V92" s="105">
        <f t="shared" si="5"/>
        <v>0</v>
      </c>
      <c r="W92" s="392">
        <f>IF(SUM(V92:V94)&gt;0,1,0)</f>
        <v>0</v>
      </c>
      <c r="X92" s="224">
        <f t="shared" si="6"/>
        <v>0</v>
      </c>
      <c r="Y92" s="232">
        <f>IF(OR(S92='1.基本データ(このシートは削除しないこと！)'!$D$19,'2.様式第1号、第11号-2(地域密着型)'!S92='1.基本データ(このシートは削除しないこと！)'!$E$19),1,0)</f>
        <v>1</v>
      </c>
      <c r="Z92" s="233" t="str">
        <f>VLOOKUP(S92,リスト2!$C$3:$E$65,2,FALSE)</f>
        <v>-</v>
      </c>
      <c r="AA92" s="234">
        <f>IF(OR(Z92='1.基本データ(このシートは削除しないこと！)'!$D$20,Z92='1.基本データ(このシートは削除しないこと！)'!$E$20),1,0)</f>
        <v>1</v>
      </c>
      <c r="AB92" s="233" t="str">
        <f>VLOOKUP(S92,リスト2!$C$3:$E$65,3,FALSE)</f>
        <v>-</v>
      </c>
      <c r="AC92" s="234">
        <f>IF(OR(AB92='1.基本データ(このシートは削除しないこと！)'!$D$21,AB92='1.基本データ(このシートは削除しないこと！)'!$E$21),1,0)</f>
        <v>1</v>
      </c>
      <c r="AD92" s="235">
        <f>IF(Y92+AA92+AC92=3,2,Y92+AA92+AC92)</f>
        <v>2</v>
      </c>
      <c r="AE92" s="223">
        <f>IF(AND('1.基本データ(このシートは削除しないこと！)'!$D$17="全国",AB92&lt;&gt;"-"),4,0)</f>
        <v>0</v>
      </c>
      <c r="AF92" s="184" t="str">
        <f>VLOOKUP(S92,リスト2!$C$3:$F$65,4,FALSE)</f>
        <v>-</v>
      </c>
      <c r="AG92" s="231"/>
      <c r="AH92" s="114">
        <v>1.5</v>
      </c>
      <c r="AI92" s="114">
        <v>1.5</v>
      </c>
      <c r="AK92" s="110">
        <f>IF($V92*X92*$AD92=3,AG92,0)</f>
        <v>0</v>
      </c>
      <c r="AL92" s="110">
        <f t="shared" si="8"/>
        <v>0</v>
      </c>
      <c r="AM92" s="110">
        <f t="shared" si="9"/>
        <v>0</v>
      </c>
      <c r="AN92" s="186">
        <f>IF('1.基本データ(このシートは削除しないこと！)'!$H$17=2,MAX(AK92:AL92),0)</f>
        <v>0</v>
      </c>
      <c r="AO92" s="186">
        <f>IF('1.基本データ(このシートは削除しないこと！)'!$H$17=3,MAX(AK92:AM92),0)</f>
        <v>0</v>
      </c>
      <c r="AP92" s="187">
        <f>IF(AND('1.基本データ(このシートは削除しないこと！)'!$H$17=4,AF92="県内"),W92*AI92,0)</f>
        <v>0</v>
      </c>
      <c r="AQ92" s="402">
        <f>IF(W92&lt;=2,MAX(AN92:AP94),"-")</f>
        <v>0</v>
      </c>
      <c r="AR92" s="381">
        <f>RANK(AQ92,$AQ$92:$AQ$101,0)</f>
        <v>1</v>
      </c>
      <c r="AS92" s="197">
        <f>AQ92</f>
        <v>0</v>
      </c>
      <c r="AT92" s="199">
        <f>AQ92+0.25</f>
        <v>0.25</v>
      </c>
      <c r="AU92" s="21" t="str">
        <f>IF(AU93=1,MAX(AS92:AT92),IF(AU93=2,MIN(AS92:AT92),"-"))</f>
        <v>-</v>
      </c>
    </row>
    <row r="93" spans="1:51" ht="35.4" customHeight="1" thickBot="1" x14ac:dyDescent="0.25">
      <c r="A93" s="27"/>
      <c r="B93" s="396"/>
      <c r="C93" s="406"/>
      <c r="D93" s="415"/>
      <c r="E93" s="412"/>
      <c r="F93" s="418"/>
      <c r="G93" s="432"/>
      <c r="H93" s="427" t="s">
        <v>335</v>
      </c>
      <c r="I93" s="427"/>
      <c r="J93" s="427"/>
      <c r="K93" s="427"/>
      <c r="L93" s="427"/>
      <c r="M93" s="427"/>
      <c r="N93" s="427"/>
      <c r="O93" s="427"/>
      <c r="P93" s="427"/>
      <c r="Q93" s="428"/>
      <c r="R93" s="193" t="s">
        <v>172</v>
      </c>
      <c r="S93" s="302"/>
      <c r="T93" s="104"/>
      <c r="U93" s="104"/>
      <c r="V93" s="105">
        <f t="shared" si="5"/>
        <v>0</v>
      </c>
      <c r="W93" s="393"/>
      <c r="X93" s="225">
        <f>X92</f>
        <v>0</v>
      </c>
      <c r="Y93" s="225">
        <f t="shared" ref="Y93:AE93" si="10">Y92</f>
        <v>1</v>
      </c>
      <c r="Z93" s="255" t="str">
        <f t="shared" si="10"/>
        <v>-</v>
      </c>
      <c r="AA93" s="259">
        <f t="shared" si="10"/>
        <v>1</v>
      </c>
      <c r="AB93" s="260" t="str">
        <f t="shared" si="10"/>
        <v>-</v>
      </c>
      <c r="AC93" s="257">
        <f t="shared" si="10"/>
        <v>1</v>
      </c>
      <c r="AD93" s="225">
        <f t="shared" si="10"/>
        <v>2</v>
      </c>
      <c r="AE93" s="225">
        <f t="shared" si="10"/>
        <v>0</v>
      </c>
      <c r="AF93" s="184" t="str">
        <f>AF92</f>
        <v>-</v>
      </c>
      <c r="AG93" s="239"/>
      <c r="AH93" s="240">
        <v>1.25</v>
      </c>
      <c r="AI93" s="240">
        <v>1.25</v>
      </c>
      <c r="AK93" s="110">
        <f>IF($V93*X93*$AD93=3,AG93,0)</f>
        <v>0</v>
      </c>
      <c r="AL93" s="110">
        <f t="shared" si="8"/>
        <v>0</v>
      </c>
      <c r="AM93" s="110">
        <f t="shared" ref="AM93" si="11">IF(OR($V93*$X93*$AD93=1,$V93*$X93*$AE93=4),AI93,0)</f>
        <v>0</v>
      </c>
      <c r="AN93" s="188">
        <f>IF('1.基本データ(このシートは削除しないこと！)'!$H$17=2,MAX(AK93:AL93),0)</f>
        <v>0</v>
      </c>
      <c r="AO93" s="188">
        <f>IF('1.基本データ(このシートは削除しないこと！)'!$H$17=3,MAX(AK93:AM93),0)</f>
        <v>0</v>
      </c>
      <c r="AP93" s="189">
        <f>IF(AND('1.基本データ(このシートは削除しないこと！)'!$H$17=4,AF93="県内"),W93*AI93,0)</f>
        <v>0</v>
      </c>
      <c r="AQ93" s="403"/>
      <c r="AR93" s="382"/>
      <c r="AS93" s="1"/>
      <c r="AT93" s="198"/>
      <c r="AU93" s="57">
        <f>IF(G94=リスト!Q4,1,IF(G94=リスト!Q5,2,0))</f>
        <v>0</v>
      </c>
      <c r="AV93" s="174">
        <f>AU93</f>
        <v>0</v>
      </c>
    </row>
    <row r="94" spans="1:51" ht="54.6" customHeight="1" thickBot="1" x14ac:dyDescent="0.25">
      <c r="A94" s="27"/>
      <c r="B94" s="396"/>
      <c r="C94" s="406"/>
      <c r="D94" s="416"/>
      <c r="E94" s="411"/>
      <c r="F94" s="419"/>
      <c r="G94" s="270" t="s">
        <v>172</v>
      </c>
      <c r="H94" s="430" t="s">
        <v>336</v>
      </c>
      <c r="I94" s="427"/>
      <c r="J94" s="427"/>
      <c r="K94" s="427"/>
      <c r="L94" s="427"/>
      <c r="M94" s="427"/>
      <c r="N94" s="427"/>
      <c r="O94" s="427"/>
      <c r="P94" s="427"/>
      <c r="Q94" s="428"/>
      <c r="R94" s="193" t="s">
        <v>172</v>
      </c>
      <c r="S94" s="303"/>
      <c r="T94" s="104"/>
      <c r="U94" s="104"/>
      <c r="V94" s="105">
        <f t="shared" si="5"/>
        <v>0</v>
      </c>
      <c r="W94" s="394"/>
      <c r="X94" s="238">
        <f>X92</f>
        <v>0</v>
      </c>
      <c r="Y94" s="238">
        <f t="shared" ref="Y94:AE94" si="12">Y92</f>
        <v>1</v>
      </c>
      <c r="Z94" s="256" t="str">
        <f t="shared" si="12"/>
        <v>-</v>
      </c>
      <c r="AA94" s="261">
        <f t="shared" si="12"/>
        <v>1</v>
      </c>
      <c r="AB94" s="262" t="str">
        <f t="shared" si="12"/>
        <v>-</v>
      </c>
      <c r="AC94" s="258">
        <f t="shared" si="12"/>
        <v>1</v>
      </c>
      <c r="AD94" s="238">
        <f t="shared" si="12"/>
        <v>2</v>
      </c>
      <c r="AE94" s="238">
        <f t="shared" si="12"/>
        <v>0</v>
      </c>
      <c r="AF94" s="184" t="str">
        <f>AF92</f>
        <v>-</v>
      </c>
      <c r="AG94" s="236"/>
      <c r="AH94" s="237">
        <v>0.75</v>
      </c>
      <c r="AI94" s="237">
        <v>0.75</v>
      </c>
      <c r="AK94" s="110">
        <f>IF($V94*X94*$AD94=3,AG94,0)</f>
        <v>0</v>
      </c>
      <c r="AL94" s="110">
        <f t="shared" si="8"/>
        <v>0</v>
      </c>
      <c r="AM94" s="110">
        <f>IF(OR($V94*$X94*$AD94=1,$V94*$X94*$AE94=4),AI94,0)</f>
        <v>0</v>
      </c>
      <c r="AN94" s="190">
        <f>IF('1.基本データ(このシートは削除しないこと！)'!$H$17=2,MAX(AK94:AL94),0)</f>
        <v>0</v>
      </c>
      <c r="AO94" s="190">
        <f>IF('1.基本データ(このシートは削除しないこと！)'!$H$17=3,MAX(AK94:AM94),0)</f>
        <v>0</v>
      </c>
      <c r="AP94" s="191">
        <f>IF(AND('1.基本データ(このシートは削除しないこと！)'!$H$17=4,AF94="県内"),W94*AI94,0)</f>
        <v>0</v>
      </c>
      <c r="AQ94" s="404"/>
      <c r="AR94" s="383"/>
    </row>
    <row r="95" spans="1:51" ht="79.95" customHeight="1" thickBot="1" x14ac:dyDescent="0.25">
      <c r="A95" s="27"/>
      <c r="B95" s="396"/>
      <c r="C95" s="406"/>
      <c r="D95" s="408" t="s">
        <v>264</v>
      </c>
      <c r="E95" s="410">
        <f>AG95</f>
        <v>1.25</v>
      </c>
      <c r="F95" s="397" t="str">
        <f>IF(OR($Y$87=0,V95+V96=0),"-",AQ95)</f>
        <v>-</v>
      </c>
      <c r="G95" s="429" t="s">
        <v>342</v>
      </c>
      <c r="H95" s="427"/>
      <c r="I95" s="427"/>
      <c r="J95" s="427"/>
      <c r="K95" s="427"/>
      <c r="L95" s="427"/>
      <c r="M95" s="427"/>
      <c r="N95" s="427"/>
      <c r="O95" s="427"/>
      <c r="P95" s="427"/>
      <c r="Q95" s="428"/>
      <c r="R95" s="193" t="s">
        <v>172</v>
      </c>
      <c r="S95" s="301" t="s">
        <v>172</v>
      </c>
      <c r="T95" s="111"/>
      <c r="U95" s="111"/>
      <c r="V95" s="105">
        <f t="shared" si="5"/>
        <v>0</v>
      </c>
      <c r="W95" s="392">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f>IF('1.基本データ(このシートは削除しないこと！)'!$H$17=2,MAX(AK95:AL95),0)</f>
        <v>0</v>
      </c>
      <c r="AO95" s="186">
        <f>IF('1.基本データ(このシートは削除しないこと！)'!$H$17=3,MAX(AK95:AM95),0)</f>
        <v>0</v>
      </c>
      <c r="AP95" s="187">
        <f>IF(AND('1.基本データ(このシートは削除しないこと！)'!$H$17=4,AF95="県内"),W95*AI95,0)</f>
        <v>0</v>
      </c>
      <c r="AQ95" s="157">
        <f>IF(W95&lt;=2,MAX(AN95:AP96),"-")</f>
        <v>0</v>
      </c>
      <c r="AR95" s="381">
        <f>RANK(AQ95,$AQ$92:$AQ$101,0)</f>
        <v>1</v>
      </c>
    </row>
    <row r="96" spans="1:51" ht="34.950000000000003" customHeight="1" thickBot="1" x14ac:dyDescent="0.25">
      <c r="A96" s="27"/>
      <c r="B96" s="396"/>
      <c r="C96" s="406"/>
      <c r="D96" s="409"/>
      <c r="E96" s="411"/>
      <c r="F96" s="398"/>
      <c r="G96" s="427" t="s">
        <v>343</v>
      </c>
      <c r="H96" s="427"/>
      <c r="I96" s="427"/>
      <c r="J96" s="427"/>
      <c r="K96" s="427"/>
      <c r="L96" s="427"/>
      <c r="M96" s="427"/>
      <c r="N96" s="427"/>
      <c r="O96" s="427"/>
      <c r="P96" s="427"/>
      <c r="Q96" s="428"/>
      <c r="R96" s="193" t="s">
        <v>172</v>
      </c>
      <c r="S96" s="303"/>
      <c r="T96" s="104"/>
      <c r="U96" s="104"/>
      <c r="V96" s="57">
        <f t="shared" ref="V96:V101" si="13">IF(R96="有",1,0)</f>
        <v>0</v>
      </c>
      <c r="W96" s="394"/>
      <c r="X96" s="162">
        <f>X95</f>
        <v>0</v>
      </c>
      <c r="Y96" s="162">
        <f t="shared" ref="Y96:AE96" si="14">Y95</f>
        <v>1</v>
      </c>
      <c r="Z96" s="263" t="str">
        <f t="shared" si="14"/>
        <v>-</v>
      </c>
      <c r="AA96" s="266">
        <f t="shared" si="14"/>
        <v>1</v>
      </c>
      <c r="AB96" s="267" t="str">
        <f t="shared" si="14"/>
        <v>-</v>
      </c>
      <c r="AC96" s="265">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f>IF('1.基本データ(このシートは削除しないこと！)'!$H$17=2,MAX(AK96:AL96),0)</f>
        <v>0</v>
      </c>
      <c r="AO96" s="190">
        <f>IF('1.基本データ(このシートは削除しないこと！)'!$H$17=3,MAX(AK96:AM96),0)</f>
        <v>0</v>
      </c>
      <c r="AP96" s="191">
        <f>IF(AND('1.基本データ(このシートは削除しないこと！)'!$H$17=4,AF96="県内"),W96*AI96,0)</f>
        <v>0</v>
      </c>
      <c r="AQ96" s="158"/>
      <c r="AR96" s="383"/>
    </row>
    <row r="97" spans="1:48" ht="34.950000000000003" customHeight="1" thickBot="1" x14ac:dyDescent="0.25">
      <c r="A97" s="27"/>
      <c r="B97" s="396"/>
      <c r="C97" s="406"/>
      <c r="D97" s="408" t="s">
        <v>237</v>
      </c>
      <c r="E97" s="410">
        <f>AG97</f>
        <v>1.25</v>
      </c>
      <c r="F97" s="397" t="str">
        <f>IF(OR($Y$87=0,V97+V98=0),"-",AQ97)</f>
        <v>-</v>
      </c>
      <c r="G97" s="427" t="s">
        <v>227</v>
      </c>
      <c r="H97" s="427"/>
      <c r="I97" s="427"/>
      <c r="J97" s="427"/>
      <c r="K97" s="427"/>
      <c r="L97" s="427"/>
      <c r="M97" s="427"/>
      <c r="N97" s="427"/>
      <c r="O97" s="427"/>
      <c r="P97" s="427"/>
      <c r="Q97" s="428"/>
      <c r="R97" s="193" t="s">
        <v>172</v>
      </c>
      <c r="S97" s="301" t="s">
        <v>172</v>
      </c>
      <c r="T97" s="104"/>
      <c r="U97" s="104"/>
      <c r="V97" s="105">
        <f>IF(R97="有",1,0)</f>
        <v>0</v>
      </c>
      <c r="W97" s="392">
        <f>IF(SUM(V97:V98)&gt;0,1,0)+W95</f>
        <v>0</v>
      </c>
      <c r="X97" s="112">
        <f>IF(S97="-",0,1)</f>
        <v>0</v>
      </c>
      <c r="Y97" s="106">
        <f>IF(OR(S97='1.基本データ(このシートは削除しないこと！)'!$D$19,'2.様式第1号、第11号-2(地域密着型)'!S97='1.基本データ(このシートは削除しないこと！)'!$E$19),1,0)</f>
        <v>1</v>
      </c>
      <c r="Z97" s="264"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f>IF('1.基本データ(このシートは削除しないこと！)'!$H$17=2,MAX(AK97:AL97),0)</f>
        <v>0</v>
      </c>
      <c r="AO97" s="186">
        <f>IF('1.基本データ(このシートは削除しないこと！)'!$H$17=3,MAX(AK97:AM97),0)</f>
        <v>0</v>
      </c>
      <c r="AP97" s="187">
        <f>IF(AND('1.基本データ(このシートは削除しないこと！)'!$H$17=4,AF97="県内"),W97*AI97,0)</f>
        <v>0</v>
      </c>
      <c r="AQ97" s="157">
        <f>IF(W97&lt;=2,MAX(AN97:AP98),"-")</f>
        <v>0</v>
      </c>
      <c r="AR97" s="381">
        <f>RANK(AQ97,$AQ$92:$AQ$101,0)+(IF(AQ95=1.25,1,0))+(IF(AQ95=0.75,1,0))</f>
        <v>1</v>
      </c>
    </row>
    <row r="98" spans="1:48" ht="34.950000000000003" customHeight="1" thickBot="1" x14ac:dyDescent="0.25">
      <c r="A98" s="27"/>
      <c r="B98" s="396"/>
      <c r="C98" s="406"/>
      <c r="D98" s="409"/>
      <c r="E98" s="411"/>
      <c r="F98" s="398"/>
      <c r="G98" s="427" t="s">
        <v>223</v>
      </c>
      <c r="H98" s="427"/>
      <c r="I98" s="427"/>
      <c r="J98" s="427"/>
      <c r="K98" s="427"/>
      <c r="L98" s="427"/>
      <c r="M98" s="427"/>
      <c r="N98" s="427"/>
      <c r="O98" s="427"/>
      <c r="P98" s="427"/>
      <c r="Q98" s="428"/>
      <c r="R98" s="193" t="s">
        <v>172</v>
      </c>
      <c r="S98" s="303"/>
      <c r="T98" s="118"/>
      <c r="U98" s="118"/>
      <c r="V98" s="57">
        <f>IF(R98="有",1,0)</f>
        <v>0</v>
      </c>
      <c r="W98" s="394"/>
      <c r="X98" s="162">
        <f>X97</f>
        <v>0</v>
      </c>
      <c r="Y98" s="162">
        <f t="shared" ref="Y98:AE98" si="16">Y97</f>
        <v>1</v>
      </c>
      <c r="Z98" s="263" t="str">
        <f t="shared" si="16"/>
        <v>-</v>
      </c>
      <c r="AA98" s="268">
        <f t="shared" si="16"/>
        <v>1</v>
      </c>
      <c r="AB98" s="262" t="str">
        <f t="shared" si="16"/>
        <v>-</v>
      </c>
      <c r="AC98" s="265">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f>IF('1.基本データ(このシートは削除しないこと！)'!$H$17=2,MAX(AK98:AL98),0)</f>
        <v>0</v>
      </c>
      <c r="AO98" s="190">
        <f>IF('1.基本データ(このシートは削除しないこと！)'!$H$17=3,MAX(AK98:AM98),0)</f>
        <v>0</v>
      </c>
      <c r="AP98" s="191">
        <f>IF(AND('1.基本データ(このシートは削除しないこと！)'!$H$17=4,AF98="県内"),W98*AI98,0)</f>
        <v>0</v>
      </c>
      <c r="AQ98" s="158"/>
      <c r="AR98" s="383"/>
    </row>
    <row r="99" spans="1:48" ht="65.400000000000006" customHeight="1" thickBot="1" x14ac:dyDescent="0.25">
      <c r="A99" s="27"/>
      <c r="B99" s="396"/>
      <c r="C99" s="406"/>
      <c r="D99" s="421" t="s">
        <v>387</v>
      </c>
      <c r="E99" s="410">
        <v>1.75</v>
      </c>
      <c r="F99" s="399" t="str">
        <f>IF(OR('1.基本データ(このシートは削除しないこと！)'!H16=10,$Y$87=0,AQ99=0,SUM(V99:V101)=0),"-",AU99)</f>
        <v>-</v>
      </c>
      <c r="G99" s="408" t="s">
        <v>384</v>
      </c>
      <c r="H99" s="427" t="s">
        <v>347</v>
      </c>
      <c r="I99" s="427"/>
      <c r="J99" s="427"/>
      <c r="K99" s="427"/>
      <c r="L99" s="427"/>
      <c r="M99" s="427"/>
      <c r="N99" s="427"/>
      <c r="O99" s="427"/>
      <c r="P99" s="427"/>
      <c r="Q99" s="428"/>
      <c r="R99" s="193" t="s">
        <v>172</v>
      </c>
      <c r="S99" s="301" t="s">
        <v>172</v>
      </c>
      <c r="T99" s="104"/>
      <c r="U99" s="104"/>
      <c r="V99" s="224">
        <f t="shared" si="13"/>
        <v>0</v>
      </c>
      <c r="W99" s="392">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1">
        <f>IF($V99*X99*$AD99=3,AG99,0)</f>
        <v>0</v>
      </c>
      <c r="AL99" s="242">
        <f>IF($V99*X99*$AD99=2,AH99,0)</f>
        <v>0</v>
      </c>
      <c r="AM99" s="242">
        <f>IF(OR($V99*$X99*$AD99=1,$V99*$X99*$AE99=4),AI99,0)</f>
        <v>0</v>
      </c>
      <c r="AN99" s="186">
        <f>IF('1.基本データ(このシートは削除しないこと！)'!$H$17=2,MAX(AK99:AL99),0)</f>
        <v>0</v>
      </c>
      <c r="AO99" s="186">
        <f>IF('1.基本データ(このシートは削除しないこと！)'!$H$17=3,MAX(AK99:AM99),0)</f>
        <v>0</v>
      </c>
      <c r="AP99" s="187">
        <f>IF(AND('1.基本データ(このシートは削除しないこと！)'!$H$17=4,AF99="県内"),W99*AI99,0)</f>
        <v>0</v>
      </c>
      <c r="AQ99" s="474">
        <f>IF(W99&lt;=2,MAX(AN99:AP101),"-")</f>
        <v>0</v>
      </c>
      <c r="AR99" s="381">
        <f>RANK(AQ99,$AQ$92:$AQ$101,0)</f>
        <v>1</v>
      </c>
      <c r="AS99" s="197">
        <f>AQ99</f>
        <v>0</v>
      </c>
      <c r="AT99" s="199">
        <f>AQ99+0.25</f>
        <v>0.25</v>
      </c>
      <c r="AU99" s="21" t="str">
        <f>IF(AU101=1,MAX(AS99:AT99),IF(AU101=2,MIN(AS99:AT99),"-"))</f>
        <v>-</v>
      </c>
    </row>
    <row r="100" spans="1:48" ht="60" customHeight="1" thickBot="1" x14ac:dyDescent="0.25">
      <c r="A100" s="27"/>
      <c r="B100" s="396"/>
      <c r="C100" s="406"/>
      <c r="D100" s="422"/>
      <c r="E100" s="412"/>
      <c r="F100" s="400"/>
      <c r="G100" s="481"/>
      <c r="H100" s="427" t="s">
        <v>372</v>
      </c>
      <c r="I100" s="344"/>
      <c r="J100" s="344"/>
      <c r="K100" s="344"/>
      <c r="L100" s="344"/>
      <c r="M100" s="344"/>
      <c r="N100" s="344"/>
      <c r="O100" s="344"/>
      <c r="P100" s="344"/>
      <c r="Q100" s="482"/>
      <c r="R100" s="193" t="s">
        <v>172</v>
      </c>
      <c r="S100" s="302"/>
      <c r="T100" s="104"/>
      <c r="U100" s="104"/>
      <c r="V100" s="225">
        <f>IF(R100="有",1,0)</f>
        <v>0</v>
      </c>
      <c r="W100" s="393"/>
      <c r="X100" s="226">
        <f t="shared" ref="X100:AF100" si="17">X99</f>
        <v>0</v>
      </c>
      <c r="Y100" s="227">
        <f t="shared" si="17"/>
        <v>1</v>
      </c>
      <c r="Z100" s="228" t="str">
        <f t="shared" si="17"/>
        <v>-</v>
      </c>
      <c r="AA100" s="229">
        <f t="shared" si="17"/>
        <v>1</v>
      </c>
      <c r="AB100" s="228" t="str">
        <f t="shared" si="17"/>
        <v>-</v>
      </c>
      <c r="AC100" s="229">
        <f t="shared" si="17"/>
        <v>1</v>
      </c>
      <c r="AD100" s="230">
        <f t="shared" si="17"/>
        <v>3</v>
      </c>
      <c r="AE100" s="230">
        <f t="shared" si="17"/>
        <v>0</v>
      </c>
      <c r="AF100" s="184" t="str">
        <f t="shared" si="17"/>
        <v>-</v>
      </c>
      <c r="AG100" s="102">
        <v>1</v>
      </c>
      <c r="AH100" s="102">
        <v>1</v>
      </c>
      <c r="AI100" s="102">
        <v>1</v>
      </c>
      <c r="AK100" s="244">
        <f>IF($V100*X100*$AD100=3,AG100,0)</f>
        <v>0</v>
      </c>
      <c r="AL100" s="245">
        <f>IF($V100*X100*$AD100=2,AH100,0)</f>
        <v>0</v>
      </c>
      <c r="AM100" s="245">
        <f>IF(OR($V100*$X100*$AD100=1,$V100*$X100*$AE100=4),AI100,0)</f>
        <v>0</v>
      </c>
      <c r="AN100" s="188">
        <f>IF('1.基本データ(このシートは削除しないこと！)'!$H$17=2,MAX(AK100:AL100),0)</f>
        <v>0</v>
      </c>
      <c r="AO100" s="188">
        <f>IF('1.基本データ(このシートは削除しないこと！)'!$H$17=3,MAX(AK100:AM100),0)</f>
        <v>0</v>
      </c>
      <c r="AP100" s="189">
        <f>IF(AND('1.基本データ(このシートは削除しないこと！)'!$H$17=4,AF100="県内"),W100*AI100,0)</f>
        <v>0</v>
      </c>
      <c r="AQ100" s="475"/>
      <c r="AR100" s="382"/>
      <c r="AS100" s="197"/>
      <c r="AT100" s="199"/>
    </row>
    <row r="101" spans="1:48" ht="60" customHeight="1" thickBot="1" x14ac:dyDescent="0.25">
      <c r="A101" s="27"/>
      <c r="B101" s="396"/>
      <c r="C101" s="407"/>
      <c r="D101" s="423"/>
      <c r="E101" s="413"/>
      <c r="F101" s="401"/>
      <c r="G101" s="271" t="s">
        <v>172</v>
      </c>
      <c r="H101" s="424" t="s">
        <v>373</v>
      </c>
      <c r="I101" s="425"/>
      <c r="J101" s="425"/>
      <c r="K101" s="425"/>
      <c r="L101" s="425"/>
      <c r="M101" s="425"/>
      <c r="N101" s="425"/>
      <c r="O101" s="425"/>
      <c r="P101" s="425"/>
      <c r="Q101" s="426"/>
      <c r="R101" s="193" t="s">
        <v>172</v>
      </c>
      <c r="S101" s="303"/>
      <c r="T101" s="104"/>
      <c r="U101" s="104"/>
      <c r="V101" s="57">
        <f t="shared" si="13"/>
        <v>0</v>
      </c>
      <c r="W101" s="394"/>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3">
        <f>IF($V101*X101*$AD101=2,AH101,0)</f>
        <v>0</v>
      </c>
      <c r="AM101" s="243">
        <f>IF(OR($V101*$X101*$AD101=1,$V101*$X101*$AE101=4),AI101,0)</f>
        <v>0</v>
      </c>
      <c r="AN101" s="246">
        <f>IF('1.基本データ(このシートは削除しないこと！)'!$H$17=2,MAX(AK101:AL101),0)</f>
        <v>0</v>
      </c>
      <c r="AO101" s="246">
        <f>IF('1.基本データ(このシートは削除しないこと！)'!$H$17=3,MAX(AK101:AM101),0)</f>
        <v>0</v>
      </c>
      <c r="AP101" s="247">
        <f>IF(AND('1.基本データ(このシートは削除しないこと！)'!$H$17=4,AF101="県内"),W101*AI101,0)</f>
        <v>0</v>
      </c>
      <c r="AQ101" s="476"/>
      <c r="AR101" s="383"/>
      <c r="AS101" s="1"/>
      <c r="AT101" s="198"/>
      <c r="AU101" s="57">
        <f>IF(G101=リスト!Q4,1,IF(G101=リスト!Q5,2,0))</f>
        <v>0</v>
      </c>
      <c r="AV101" s="174">
        <f>AU101</f>
        <v>0</v>
      </c>
    </row>
    <row r="104" spans="1:48" ht="9" customHeight="1" x14ac:dyDescent="0.2"/>
    <row r="105" spans="1:48" ht="9" customHeight="1" x14ac:dyDescent="0.2"/>
    <row r="106" spans="1:48" ht="9" customHeight="1" x14ac:dyDescent="0.2"/>
    <row r="107" spans="1:48" ht="9" customHeight="1" x14ac:dyDescent="0.2"/>
  </sheetData>
  <sheetProtection algorithmName="SHA-512" hashValue="5ix4mvqrwzh1mSKceomK3zSGoMSxsRFF4v7yGiYizf5Ik8qp3m5r5FlAPiqsaXSPQspPdkz9zc9o8zmpg38r3A==" saltValue="Snp2CLkQ248ri7yioOq6kg==" spinCount="100000" sheet="1" objects="1" scenarios="1"/>
  <mergeCells count="167">
    <mergeCell ref="AQ99:AQ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K86:Q86"/>
    <mergeCell ref="N64:Q64"/>
    <mergeCell ref="C79:D79"/>
    <mergeCell ref="I62:Q62"/>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G64:H64"/>
    <mergeCell ref="G63:H63"/>
    <mergeCell ref="G62:H62"/>
    <mergeCell ref="R66:R67"/>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58:D58"/>
    <mergeCell ref="C55:D57"/>
    <mergeCell ref="L55:M55"/>
    <mergeCell ref="F55:F57"/>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H94:Q94"/>
    <mergeCell ref="S95:S96"/>
    <mergeCell ref="S97:S98"/>
    <mergeCell ref="G92:G93"/>
    <mergeCell ref="H92:Q92"/>
    <mergeCell ref="H93:Q93"/>
    <mergeCell ref="AR99:AR101"/>
    <mergeCell ref="AR97:AR98"/>
    <mergeCell ref="AR95:AR96"/>
    <mergeCell ref="AR92:AR94"/>
    <mergeCell ref="N68:Q68"/>
    <mergeCell ref="B72:S72"/>
    <mergeCell ref="B70:S70"/>
    <mergeCell ref="B78:B87"/>
    <mergeCell ref="B89:D89"/>
    <mergeCell ref="C80:D87"/>
    <mergeCell ref="W99:W101"/>
    <mergeCell ref="C90:D90"/>
    <mergeCell ref="C91:D91"/>
    <mergeCell ref="B90:B101"/>
    <mergeCell ref="F97:F98"/>
    <mergeCell ref="F99:F101"/>
    <mergeCell ref="AQ92:AQ94"/>
    <mergeCell ref="I82:J82"/>
    <mergeCell ref="K82:Q82"/>
    <mergeCell ref="K84:Q84"/>
    <mergeCell ref="W97:W98"/>
    <mergeCell ref="C92:C101"/>
    <mergeCell ref="D95:D96"/>
    <mergeCell ref="W92:W94"/>
    <mergeCell ref="S66:S67"/>
    <mergeCell ref="K87:Q87"/>
    <mergeCell ref="B88:S88"/>
    <mergeCell ref="R80:S87"/>
    <mergeCell ref="E80:E87"/>
    <mergeCell ref="E75:R75"/>
    <mergeCell ref="B71:S71"/>
    <mergeCell ref="K85:Q85"/>
    <mergeCell ref="I84:J84"/>
    <mergeCell ref="I85:J85"/>
    <mergeCell ref="I79:J79"/>
    <mergeCell ref="G79:H79"/>
    <mergeCell ref="G78:H78"/>
    <mergeCell ref="G85:H85"/>
    <mergeCell ref="G84:H84"/>
    <mergeCell ref="G83:Q83"/>
    <mergeCell ref="G82:H82"/>
    <mergeCell ref="G81:H81"/>
    <mergeCell ref="G68:H68"/>
    <mergeCell ref="I68:L68"/>
    <mergeCell ref="C66:D68"/>
    <mergeCell ref="B69:S69"/>
    <mergeCell ref="I67:L67"/>
    <mergeCell ref="I78:J78"/>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K79:S79"/>
    <mergeCell ref="K81:Q81"/>
    <mergeCell ref="I81:J81"/>
    <mergeCell ref="S92:S94"/>
    <mergeCell ref="G77:S77"/>
    <mergeCell ref="G80:Q80"/>
    <mergeCell ref="G89:Q89"/>
    <mergeCell ref="G91:Q91"/>
    <mergeCell ref="G90:Q90"/>
  </mergeCells>
  <phoneticPr fontId="34"/>
  <conditionalFormatting sqref="E97:F97">
    <cfRule type="expression" dxfId="19" priority="89">
      <formula>#REF!=0</formula>
    </cfRule>
  </conditionalFormatting>
  <conditionalFormatting sqref="E90:G90">
    <cfRule type="expression" dxfId="18" priority="41">
      <formula>#REF!=0</formula>
    </cfRule>
  </conditionalFormatting>
  <conditionalFormatting sqref="E92:G92">
    <cfRule type="expression" dxfId="17" priority="4">
      <formula>#REF!=0</formula>
    </cfRule>
  </conditionalFormatting>
  <conditionalFormatting sqref="F97">
    <cfRule type="expression" dxfId="16" priority="90">
      <formula>#REF!&gt;2</formula>
    </cfRule>
  </conditionalFormatting>
  <conditionalFormatting sqref="F99:F101">
    <cfRule type="expression" dxfId="15" priority="161">
      <formula>#REF!=2</formula>
    </cfRule>
  </conditionalFormatting>
  <conditionalFormatting sqref="F92:G92">
    <cfRule type="expression" dxfId="14" priority="5">
      <formula>#REF!&gt;2</formula>
    </cfRule>
  </conditionalFormatting>
  <conditionalFormatting sqref="G94:G99">
    <cfRule type="expression" dxfId="13" priority="6">
      <formula>#REF!=0</formula>
    </cfRule>
    <cfRule type="expression" dxfId="12" priority="7">
      <formula>#REF!&gt;2</formula>
    </cfRule>
  </conditionalFormatting>
  <conditionalFormatting sqref="G99:H99 G101:H101">
    <cfRule type="expression" dxfId="11" priority="12">
      <formula>#REF!=2</formula>
    </cfRule>
  </conditionalFormatting>
  <conditionalFormatting sqref="H92:H94">
    <cfRule type="expression" dxfId="10" priority="14">
      <formula>#REF!=0</formula>
    </cfRule>
    <cfRule type="expression" dxfId="9" priority="15">
      <formula>#REF!&gt;2</formula>
    </cfRule>
  </conditionalFormatting>
  <conditionalFormatting sqref="H100:P100">
    <cfRule type="expression" dxfId="8" priority="1">
      <formula>#REF!=0</formula>
    </cfRule>
    <cfRule type="expression" dxfId="7" priority="2">
      <formula>#REF!=2</formula>
    </cfRule>
    <cfRule type="expression" dxfId="6" priority="3">
      <formula>#REF!&gt;2</formula>
    </cfRule>
  </conditionalFormatting>
  <conditionalFormatting sqref="K82 H99 G101:H101">
    <cfRule type="expression" dxfId="5" priority="102">
      <formula>#REF!&gt;2</formula>
    </cfRule>
  </conditionalFormatting>
  <conditionalFormatting sqref="K82">
    <cfRule type="expression" dxfId="4" priority="101">
      <formula>#REF!=0</formula>
    </cfRule>
  </conditionalFormatting>
  <conditionalFormatting sqref="K85 H99 F101:H101">
    <cfRule type="expression" dxfId="3" priority="95">
      <formula>#REF!=0</formula>
    </cfRule>
  </conditionalFormatting>
  <conditionalFormatting sqref="K85">
    <cfRule type="expression" dxfId="2" priority="96">
      <formula>#REF!&gt;2</formula>
    </cfRule>
  </conditionalFormatting>
  <conditionalFormatting sqref="R90:R101 F91 E95:F95 E99:F100">
    <cfRule type="expression" dxfId="1" priority="148">
      <formula>#REF!=0</formula>
    </cfRule>
  </conditionalFormatting>
  <conditionalFormatting sqref="R90:R101 F95 F99:F101">
    <cfRule type="expression" dxfId="0" priority="166">
      <formula>#REF!&gt;2</formula>
    </cfRule>
  </conditionalFormatting>
  <dataValidations count="6">
    <dataValidation imeMode="disabled" allowBlank="1" showInputMessage="1" showErrorMessage="1" sqref="I63:L64 N63:Q64 I67:L68 N67:Q68"/>
    <dataValidation type="textLength" imeMode="disabled" operator="equal" allowBlank="1" showInputMessage="1" showErrorMessage="1" errorTitle="無効な入力" error="4桁で入力してください" prompt="4桁を入力してください" sqref="O66:P66 O55:P55">
      <formula1>4</formula1>
    </dataValidation>
    <dataValidation type="textLength" imeMode="disabled" operator="equal" allowBlank="1" showInputMessage="1" showErrorMessage="1" errorTitle="無効な入力" error="5桁で入力してください" prompt="5桁を入力してください" sqref="L66:M66 L55:M55">
      <formula1>5</formula1>
    </dataValidation>
    <dataValidation type="whole" imeMode="halfAlpha" allowBlank="1" showInputMessage="1" showErrorMessage="1" errorTitle="無効な入力" error="２桁で入力してください" prompt="2桁を入力してください" sqref="J66 J55">
      <formula1>10</formula1>
      <formula2>24</formula2>
    </dataValidation>
    <dataValidation imeMode="disabled" allowBlank="1" showInputMessage="1" showErrorMessage="1" prompt="直近の工事成績が対象　手引き要確認" sqref="I56:O56"/>
    <dataValidation allowBlank="1" showInputMessage="1" showErrorMessage="1" prompt="若手・女性技術者の「氏名」を入力" sqref="K78:Q78"/>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リスト!$F$4:$F$7</xm:f>
          </x14:formula1>
          <xm:sqref>S56</xm:sqref>
        </x14:dataValidation>
        <x14:dataValidation type="list" allowBlank="1" showInputMessage="1" showErrorMessage="1">
          <x14:formula1>
            <xm:f>リスト!$M$4:$M$5</xm:f>
          </x14:formula1>
          <xm:sqref>S58:S60 R90:R98 R100:R101</xm:sqref>
        </x14:dataValidation>
        <x14:dataValidation type="list" allowBlank="1" showInputMessage="1" showErrorMessage="1">
          <x14:formula1>
            <xm:f>リスト2!$C$3:$C$64</xm:f>
          </x14:formula1>
          <xm:sqref>K81 K84 S90:S92 S95 S97 S99:S101</xm:sqref>
        </x14:dataValidation>
        <x14:dataValidation type="list" allowBlank="1" showInputMessage="1" showErrorMessage="1" prompt="同一発注種別の工事成績が対象">
          <x14:formula1>
            <xm:f>リスト!$H$4:$H$9</xm:f>
          </x14:formula1>
          <xm:sqref>S55</xm:sqref>
        </x14:dataValidation>
        <x14:dataValidation type="list" allowBlank="1" showInputMessage="1" showErrorMessage="1">
          <x14:formula1>
            <xm:f>リスト!$N$5:$N$7</xm:f>
          </x14:formula1>
          <xm:sqref>K85</xm:sqref>
        </x14:dataValidation>
        <x14:dataValidation type="list" allowBlank="1" showInputMessage="1" showErrorMessage="1">
          <x14:formula1>
            <xm:f>リスト!$N$4:$N$7</xm:f>
          </x14:formula1>
          <xm:sqref>K82</xm:sqref>
        </x14:dataValidation>
        <x14:dataValidation type="list" allowBlank="1" showInputMessage="1" showErrorMessage="1">
          <x14:formula1>
            <xm:f>リスト!$K$9:$K$12</xm:f>
          </x14:formula1>
          <xm:sqref>K79</xm:sqref>
        </x14:dataValidation>
        <x14:dataValidation type="list" allowBlank="1" showInputMessage="1" showErrorMessage="1">
          <x14:formula1>
            <xm:f>リスト!$E$4:$E$6</xm:f>
          </x14:formula1>
          <xm:sqref>I53:Q53</xm:sqref>
        </x14:dataValidation>
        <x14:dataValidation type="list" allowBlank="1" showInputMessage="1" showErrorMessage="1" prompt="選択">
          <x14:formula1>
            <xm:f>リスト!$O$4:$O$6</xm:f>
          </x14:formula1>
          <xm:sqref>R78:S78</xm:sqref>
        </x14:dataValidation>
        <x14:dataValidation type="list" allowBlank="1" showInputMessage="1" showErrorMessage="1">
          <x14:formula1>
            <xm:f>リスト!$Q$4:$Q$6</xm:f>
          </x14:formula1>
          <xm:sqref>G94 G101</xm:sqref>
        </x14:dataValidation>
        <x14:dataValidation type="list" allowBlank="1" showInputMessage="1" showErrorMessage="1" prompt="一般土木工事及び舗装工事の場合">
          <x14:formula1>
            <xm:f>リスト!$M$4:$M$5</xm:f>
          </x14:formula1>
          <xm:sqref>R99</xm:sqref>
        </x14:dataValidation>
        <x14:dataValidation type="list" allowBlank="1" showInputMessage="1" showErrorMessage="1">
          <x14:formula1>
            <xm:f>リスト!$G$4:$G$6</xm:f>
          </x14:formula1>
          <xm:sqref>S68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workbookViewId="0">
      <selection activeCell="G29" sqref="G29"/>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42</v>
      </c>
      <c r="B3" s="2" t="s">
        <v>36</v>
      </c>
      <c r="E3" s="2" t="s">
        <v>17</v>
      </c>
      <c r="F3" s="2" t="s">
        <v>137</v>
      </c>
      <c r="G3" s="2" t="s">
        <v>141</v>
      </c>
      <c r="H3" s="2" t="s">
        <v>124</v>
      </c>
      <c r="I3" s="2" t="s">
        <v>18</v>
      </c>
      <c r="K3" s="3" t="s">
        <v>19</v>
      </c>
      <c r="L3" s="2" t="s">
        <v>20</v>
      </c>
      <c r="M3" s="2" t="s">
        <v>21</v>
      </c>
      <c r="N3" s="2" t="s">
        <v>231</v>
      </c>
      <c r="O3" s="2" t="s">
        <v>257</v>
      </c>
      <c r="Q3" s="2" t="s">
        <v>348</v>
      </c>
    </row>
    <row r="4" spans="1:17" x14ac:dyDescent="0.2">
      <c r="A4" s="2" t="s">
        <v>41</v>
      </c>
      <c r="B4" s="2" t="s">
        <v>37</v>
      </c>
      <c r="E4" s="2" t="s">
        <v>22</v>
      </c>
      <c r="F4" s="2" t="s">
        <v>308</v>
      </c>
      <c r="G4" s="2" t="s">
        <v>308</v>
      </c>
      <c r="H4" s="2" t="s">
        <v>33</v>
      </c>
      <c r="I4" s="2" t="s">
        <v>174</v>
      </c>
      <c r="K4" s="2" t="s">
        <v>201</v>
      </c>
      <c r="L4" s="2" t="s">
        <v>25</v>
      </c>
      <c r="M4" s="2" t="s">
        <v>26</v>
      </c>
      <c r="N4" s="2" t="s">
        <v>232</v>
      </c>
      <c r="O4" s="2" t="s">
        <v>344</v>
      </c>
      <c r="Q4" s="2" t="s">
        <v>349</v>
      </c>
    </row>
    <row r="5" spans="1:17" x14ac:dyDescent="0.2">
      <c r="A5" s="2" t="s">
        <v>40</v>
      </c>
      <c r="B5" s="2" t="s">
        <v>38</v>
      </c>
      <c r="E5" s="2" t="s">
        <v>28</v>
      </c>
      <c r="F5" s="2" t="s">
        <v>309</v>
      </c>
      <c r="G5" s="2" t="s">
        <v>309</v>
      </c>
      <c r="H5" s="2" t="s">
        <v>125</v>
      </c>
      <c r="I5" s="2" t="s">
        <v>5</v>
      </c>
      <c r="K5" s="2" t="s">
        <v>33</v>
      </c>
      <c r="L5" s="2" t="s">
        <v>30</v>
      </c>
      <c r="M5" s="2" t="s">
        <v>33</v>
      </c>
      <c r="N5" s="2" t="s">
        <v>27</v>
      </c>
      <c r="O5" s="2" t="s">
        <v>345</v>
      </c>
      <c r="Q5" s="2" t="s">
        <v>350</v>
      </c>
    </row>
    <row r="6" spans="1:17" x14ac:dyDescent="0.2">
      <c r="A6" s="2" t="s">
        <v>307</v>
      </c>
      <c r="B6" s="2" t="s">
        <v>6</v>
      </c>
      <c r="E6" s="2" t="s">
        <v>31</v>
      </c>
      <c r="F6" s="2" t="s">
        <v>138</v>
      </c>
      <c r="G6" s="2" t="s">
        <v>33</v>
      </c>
      <c r="H6" s="2" t="s">
        <v>126</v>
      </c>
      <c r="I6" s="2" t="s">
        <v>33</v>
      </c>
      <c r="L6" s="2" t="s">
        <v>33</v>
      </c>
      <c r="N6" s="2" t="s">
        <v>5</v>
      </c>
      <c r="O6" s="2" t="s">
        <v>33</v>
      </c>
      <c r="Q6" s="2" t="s">
        <v>351</v>
      </c>
    </row>
    <row r="7" spans="1:17" x14ac:dyDescent="0.2">
      <c r="B7" s="2" t="s">
        <v>39</v>
      </c>
      <c r="E7" s="2" t="s">
        <v>33</v>
      </c>
      <c r="F7" s="2" t="s">
        <v>310</v>
      </c>
      <c r="H7" s="2" t="s">
        <v>178</v>
      </c>
      <c r="N7" s="2" t="s">
        <v>33</v>
      </c>
    </row>
    <row r="8" spans="1:17" x14ac:dyDescent="0.2">
      <c r="H8" s="2" t="s">
        <v>179</v>
      </c>
    </row>
    <row r="9" spans="1:17" x14ac:dyDescent="0.2">
      <c r="H9" s="2" t="s">
        <v>180</v>
      </c>
      <c r="K9" s="2" t="s">
        <v>202</v>
      </c>
    </row>
    <row r="10" spans="1:17" x14ac:dyDescent="0.2">
      <c r="H10" s="2" t="s">
        <v>181</v>
      </c>
      <c r="K10" s="2" t="s">
        <v>203</v>
      </c>
    </row>
    <row r="11" spans="1:17" x14ac:dyDescent="0.2">
      <c r="H11" s="2" t="s">
        <v>182</v>
      </c>
      <c r="K11" s="2" t="s">
        <v>205</v>
      </c>
    </row>
    <row r="12" spans="1:17" x14ac:dyDescent="0.2">
      <c r="H12" s="2" t="s">
        <v>183</v>
      </c>
      <c r="K12" s="2" t="s">
        <v>204</v>
      </c>
    </row>
    <row r="13" spans="1:17" x14ac:dyDescent="0.2">
      <c r="H13" s="2" t="s">
        <v>184</v>
      </c>
    </row>
    <row r="14" spans="1:17" x14ac:dyDescent="0.2">
      <c r="H14" s="2" t="s">
        <v>185</v>
      </c>
    </row>
    <row r="15" spans="1:17" x14ac:dyDescent="0.2">
      <c r="H15" s="2" t="s">
        <v>186</v>
      </c>
    </row>
    <row r="16" spans="1:17"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vyiHh2ElBWTxj/Pyzq22AOA17tBJX5QVnSB3nJYea9wanY0MOqnRCyM0M/JYmQS1v02DuDLVAQCcVN7HSopRTw==" saltValue="Ow57MlS8DhXxqkqSqvOF1A=="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zoomScaleNormal="100" zoomScaleSheetLayoutView="100" workbookViewId="0">
      <selection activeCell="C8" sqref="C8"/>
    </sheetView>
  </sheetViews>
  <sheetFormatPr defaultRowHeight="13.2" x14ac:dyDescent="0.2"/>
  <cols>
    <col min="3" max="3" width="29.21875" customWidth="1"/>
    <col min="4" max="4" width="21" customWidth="1"/>
    <col min="5" max="5" width="23.109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佐久間 友里絵</cp:lastModifiedBy>
  <cp:lastPrinted>2024-04-24T04:58:48Z</cp:lastPrinted>
  <dcterms:created xsi:type="dcterms:W3CDTF">2018-06-11T09:00:18Z</dcterms:created>
  <dcterms:modified xsi:type="dcterms:W3CDTF">2025-06-10T06:22:14Z</dcterms:modified>
</cp:coreProperties>
</file>