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lockStructure="1"/>
  <bookViews>
    <workbookView xWindow="5660" yWindow="450" windowWidth="15920" windowHeight="15750" tabRatio="889" firstSheet="2" activeTab="2"/>
  </bookViews>
  <sheets>
    <sheet name="判定" sheetId="9" state="hidden" r:id="rId1"/>
    <sheet name="計算" sheetId="17" state="hidden" r:id="rId2"/>
    <sheet name="様式１" sheetId="12" r:id="rId3"/>
    <sheet name="様式１－１（補助金額確認）" sheetId="22" r:id="rId4"/>
    <sheet name="様式１ー２　費用等明細" sheetId="19" r:id="rId5"/>
    <sheet name="写真台帳（参考様式）" sheetId="23" r:id="rId6"/>
    <sheet name="【参考】実際の工事費算定例" sheetId="24" r:id="rId7"/>
    <sheet name="【参考】性能区分について" sheetId="25" r:id="rId8"/>
  </sheets>
  <definedNames>
    <definedName name="_xlnm.Print_Area" localSheetId="6">【参考】実際の工事費算定例!$A$1:$M$47</definedName>
    <definedName name="_xlnm.Print_Area" localSheetId="7">【参考】性能区分について!$B$3:$K$10</definedName>
    <definedName name="_xlnm.Print_Area" localSheetId="1">計算!$A$1:$AM$165</definedName>
    <definedName name="_xlnm.Print_Area" localSheetId="5">'写真台帳（参考様式）'!$B$8:$J$627</definedName>
    <definedName name="_xlnm.Print_Area" localSheetId="2">様式１!$A$1:$T$61</definedName>
    <definedName name="_xlnm.Print_Area" localSheetId="3">'様式１－１（補助金額確認）'!$A$1:$N$62</definedName>
    <definedName name="_xlnm.Print_Area" localSheetId="4">'様式１ー２　費用等明細'!$A$1:$T$214</definedName>
    <definedName name="_xlnm.Print_Titles" localSheetId="4">'様式１ー２　費用等明細'!$11:$14</definedName>
    <definedName name="ガラス交換">判定!$Y$2:$Y$10</definedName>
    <definedName name="ドア交換【引戸】">判定!$AC$2:$AC$10</definedName>
    <definedName name="ドア交換【開戸】">判定!$AB$2:$AB$10</definedName>
    <definedName name="屋根・天井断熱">判定!$AE$2:$AE$8</definedName>
    <definedName name="外窓交換">判定!$Z$2:$Z$10</definedName>
    <definedName name="外壁断熱">判定!$AD$2:$AD$8</definedName>
    <definedName name="床断熱">判定!$AF$2:$AF$8</definedName>
    <definedName name="内窓設置">判定!$AA$2:$AA$10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P63" i="17" l="1"/>
  <c r="M46" i="22" l="1"/>
  <c r="W16" i="19" l="1"/>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57" i="19"/>
  <c r="W58" i="19"/>
  <c r="W59" i="19"/>
  <c r="W60" i="19"/>
  <c r="W61" i="19"/>
  <c r="W62" i="19"/>
  <c r="W63" i="19"/>
  <c r="W64" i="19"/>
  <c r="W65" i="19"/>
  <c r="W66" i="19"/>
  <c r="W67" i="19"/>
  <c r="W68" i="19"/>
  <c r="W69" i="19"/>
  <c r="W70" i="19"/>
  <c r="W71" i="19"/>
  <c r="W72" i="19"/>
  <c r="W73" i="19"/>
  <c r="W74" i="19"/>
  <c r="W75" i="19"/>
  <c r="W76" i="19"/>
  <c r="W77" i="19"/>
  <c r="W78" i="19"/>
  <c r="W79" i="19"/>
  <c r="W80" i="19"/>
  <c r="W81" i="19"/>
  <c r="W82" i="19"/>
  <c r="W83" i="19"/>
  <c r="W84" i="19"/>
  <c r="W85" i="19"/>
  <c r="W86" i="19"/>
  <c r="W87" i="19"/>
  <c r="W88" i="19"/>
  <c r="W89" i="19"/>
  <c r="W90" i="19"/>
  <c r="W91" i="19"/>
  <c r="W92" i="19"/>
  <c r="W93" i="19"/>
  <c r="W94" i="19"/>
  <c r="W95" i="19"/>
  <c r="W96" i="19"/>
  <c r="W97" i="19"/>
  <c r="W98" i="19"/>
  <c r="W99" i="19"/>
  <c r="W100" i="19"/>
  <c r="W101" i="19"/>
  <c r="W102" i="19"/>
  <c r="W103" i="19"/>
  <c r="W104" i="19"/>
  <c r="W105" i="19"/>
  <c r="W106" i="19"/>
  <c r="W107" i="19"/>
  <c r="W108" i="19"/>
  <c r="W109" i="19"/>
  <c r="W110" i="19"/>
  <c r="W111" i="19"/>
  <c r="W112" i="19"/>
  <c r="W113" i="19"/>
  <c r="W114" i="19"/>
  <c r="W115" i="19"/>
  <c r="W116" i="19"/>
  <c r="W117" i="19"/>
  <c r="W118" i="19"/>
  <c r="W119" i="19"/>
  <c r="W120" i="19"/>
  <c r="W121" i="19"/>
  <c r="W122" i="19"/>
  <c r="W123" i="19"/>
  <c r="W124" i="19"/>
  <c r="W125" i="19"/>
  <c r="W126" i="19"/>
  <c r="W127" i="19"/>
  <c r="W128" i="19"/>
  <c r="W129" i="19"/>
  <c r="W130" i="19"/>
  <c r="W131" i="19"/>
  <c r="W132" i="19"/>
  <c r="W133" i="19"/>
  <c r="W134" i="19"/>
  <c r="W135" i="19"/>
  <c r="W136" i="19"/>
  <c r="W137" i="19"/>
  <c r="W138" i="19"/>
  <c r="W139" i="19"/>
  <c r="W140" i="19"/>
  <c r="W141" i="19"/>
  <c r="W142" i="19"/>
  <c r="W143" i="19"/>
  <c r="W144" i="19"/>
  <c r="W145" i="19"/>
  <c r="W146" i="19"/>
  <c r="W147" i="19"/>
  <c r="W148" i="19"/>
  <c r="W149" i="19"/>
  <c r="W150" i="19"/>
  <c r="W151" i="19"/>
  <c r="W152" i="19"/>
  <c r="W153" i="19"/>
  <c r="W154" i="19"/>
  <c r="W155" i="19"/>
  <c r="W156" i="19"/>
  <c r="W157" i="19"/>
  <c r="W158" i="19"/>
  <c r="W159" i="19"/>
  <c r="W160" i="19"/>
  <c r="W161" i="19"/>
  <c r="W162" i="19"/>
  <c r="W163" i="19"/>
  <c r="W164" i="19"/>
  <c r="W165" i="19"/>
  <c r="W166" i="19"/>
  <c r="W167" i="19"/>
  <c r="W168" i="19"/>
  <c r="W169" i="19"/>
  <c r="W170" i="19"/>
  <c r="W171" i="19"/>
  <c r="W172" i="19"/>
  <c r="W173" i="19"/>
  <c r="W174" i="19"/>
  <c r="W175" i="19"/>
  <c r="W176" i="19"/>
  <c r="W177" i="19"/>
  <c r="W178" i="19"/>
  <c r="W179" i="19"/>
  <c r="W180" i="19"/>
  <c r="W181" i="19"/>
  <c r="W182" i="19"/>
  <c r="W183" i="19"/>
  <c r="W184" i="19"/>
  <c r="W185" i="19"/>
  <c r="W186" i="19"/>
  <c r="W187" i="19"/>
  <c r="W188" i="19"/>
  <c r="W189" i="19"/>
  <c r="W190" i="19"/>
  <c r="W191" i="19"/>
  <c r="W192" i="19"/>
  <c r="W193" i="19"/>
  <c r="W194" i="19"/>
  <c r="W195" i="19"/>
  <c r="W196" i="19"/>
  <c r="W197" i="19"/>
  <c r="W198" i="19"/>
  <c r="W199" i="19"/>
  <c r="W200" i="19"/>
  <c r="W201" i="19"/>
  <c r="W202" i="19"/>
  <c r="W203" i="19"/>
  <c r="W204" i="19"/>
  <c r="W205" i="19"/>
  <c r="W206" i="19"/>
  <c r="W207" i="19"/>
  <c r="W208" i="19"/>
  <c r="W209" i="19"/>
  <c r="W210" i="19"/>
  <c r="W211" i="19"/>
  <c r="W212" i="19"/>
  <c r="W213" i="19"/>
  <c r="W214" i="19"/>
  <c r="S17" i="19"/>
  <c r="S18" i="19"/>
  <c r="S19" i="19"/>
  <c r="S20" i="19"/>
  <c r="S21" i="19"/>
  <c r="S22" i="19"/>
  <c r="S23" i="19"/>
  <c r="S24" i="19"/>
  <c r="S25" i="19"/>
  <c r="S26" i="19"/>
  <c r="S27" i="19"/>
  <c r="S28" i="19"/>
  <c r="S29" i="19"/>
  <c r="S30" i="19"/>
  <c r="S31" i="19"/>
  <c r="S32" i="19"/>
  <c r="S33" i="19"/>
  <c r="S34" i="19"/>
  <c r="S35" i="19"/>
  <c r="S36" i="19"/>
  <c r="S37" i="19"/>
  <c r="S38" i="19"/>
  <c r="S39" i="19"/>
  <c r="S40" i="19"/>
  <c r="S41" i="19"/>
  <c r="S42" i="19"/>
  <c r="S43" i="19"/>
  <c r="S44" i="19"/>
  <c r="S45" i="19"/>
  <c r="S46" i="19"/>
  <c r="S47" i="19"/>
  <c r="S48" i="19"/>
  <c r="S49" i="19"/>
  <c r="S50" i="19"/>
  <c r="S51" i="19"/>
  <c r="S52" i="19"/>
  <c r="S53" i="19"/>
  <c r="S54" i="19"/>
  <c r="S55" i="19"/>
  <c r="S56" i="19"/>
  <c r="S57" i="19"/>
  <c r="S58" i="19"/>
  <c r="S59" i="19"/>
  <c r="S60" i="19"/>
  <c r="S61" i="19"/>
  <c r="S62" i="19"/>
  <c r="S63" i="19"/>
  <c r="S64" i="19"/>
  <c r="S65" i="19"/>
  <c r="S66" i="19"/>
  <c r="S67" i="19"/>
  <c r="S68" i="19"/>
  <c r="S69" i="19"/>
  <c r="S70" i="19"/>
  <c r="S71" i="19"/>
  <c r="S72" i="19"/>
  <c r="S73" i="19"/>
  <c r="S74" i="19"/>
  <c r="S75" i="19"/>
  <c r="S76" i="19"/>
  <c r="S77" i="19"/>
  <c r="S78" i="19"/>
  <c r="S79" i="19"/>
  <c r="S80" i="19"/>
  <c r="S81" i="19"/>
  <c r="S82" i="19"/>
  <c r="S83" i="19"/>
  <c r="S84" i="19"/>
  <c r="S85" i="19"/>
  <c r="S86" i="19"/>
  <c r="S87" i="19"/>
  <c r="S88" i="19"/>
  <c r="S89" i="19"/>
  <c r="S90" i="19"/>
  <c r="S91" i="19"/>
  <c r="S92" i="19"/>
  <c r="S93" i="19"/>
  <c r="S94" i="19"/>
  <c r="S95" i="19"/>
  <c r="S96" i="19"/>
  <c r="S97" i="19"/>
  <c r="S98" i="19"/>
  <c r="S99" i="19"/>
  <c r="S100" i="19"/>
  <c r="S101" i="19"/>
  <c r="S102" i="19"/>
  <c r="S103" i="19"/>
  <c r="S104" i="19"/>
  <c r="S105" i="19"/>
  <c r="S106" i="19"/>
  <c r="S107" i="19"/>
  <c r="S108" i="19"/>
  <c r="S109" i="19"/>
  <c r="S110" i="19"/>
  <c r="S111" i="19"/>
  <c r="S112" i="19"/>
  <c r="S113" i="19"/>
  <c r="S114" i="19"/>
  <c r="S115" i="19"/>
  <c r="S116" i="19"/>
  <c r="S117" i="19"/>
  <c r="S118" i="19"/>
  <c r="S119" i="19"/>
  <c r="S120" i="19"/>
  <c r="S121" i="19"/>
  <c r="S122" i="19"/>
  <c r="S123" i="19"/>
  <c r="S124" i="19"/>
  <c r="S125" i="19"/>
  <c r="S126" i="19"/>
  <c r="S127" i="19"/>
  <c r="S128" i="19"/>
  <c r="S129" i="19"/>
  <c r="S130" i="19"/>
  <c r="S131" i="19"/>
  <c r="S132" i="19"/>
  <c r="S133" i="19"/>
  <c r="S134" i="19"/>
  <c r="S135" i="19"/>
  <c r="S136" i="19"/>
  <c r="S137" i="19"/>
  <c r="S138" i="19"/>
  <c r="S139" i="19"/>
  <c r="S140" i="19"/>
  <c r="S141" i="19"/>
  <c r="S142" i="19"/>
  <c r="S143" i="19"/>
  <c r="S144" i="19"/>
  <c r="S145" i="19"/>
  <c r="S146" i="19"/>
  <c r="S147" i="19"/>
  <c r="S148" i="19"/>
  <c r="S149" i="19"/>
  <c r="S150" i="19"/>
  <c r="S151" i="19"/>
  <c r="S152" i="19"/>
  <c r="S153" i="19"/>
  <c r="S154" i="19"/>
  <c r="S155" i="19"/>
  <c r="S156" i="19"/>
  <c r="S157" i="19"/>
  <c r="S158" i="19"/>
  <c r="S159" i="19"/>
  <c r="S160" i="19"/>
  <c r="S161" i="19"/>
  <c r="S162" i="19"/>
  <c r="S163" i="19"/>
  <c r="S164" i="19"/>
  <c r="S165" i="19"/>
  <c r="S166" i="19"/>
  <c r="S167" i="19"/>
  <c r="S168" i="19"/>
  <c r="S169" i="19"/>
  <c r="S170" i="19"/>
  <c r="S171" i="19"/>
  <c r="S172" i="19"/>
  <c r="S173" i="19"/>
  <c r="S174" i="19"/>
  <c r="S175" i="19"/>
  <c r="S176" i="19"/>
  <c r="S177" i="19"/>
  <c r="S178" i="19"/>
  <c r="S179" i="19"/>
  <c r="S180" i="19"/>
  <c r="S181" i="19"/>
  <c r="S182" i="19"/>
  <c r="S183" i="19"/>
  <c r="S184" i="19"/>
  <c r="S185" i="19"/>
  <c r="S186" i="19"/>
  <c r="S187" i="19"/>
  <c r="S188" i="19"/>
  <c r="S189" i="19"/>
  <c r="S190" i="19"/>
  <c r="S191" i="19"/>
  <c r="S192" i="19"/>
  <c r="S193" i="19"/>
  <c r="S194" i="19"/>
  <c r="S195" i="19"/>
  <c r="S196" i="19"/>
  <c r="S197" i="19"/>
  <c r="S198" i="19"/>
  <c r="S199" i="19"/>
  <c r="S200" i="19"/>
  <c r="S201" i="19"/>
  <c r="S202" i="19"/>
  <c r="S203" i="19"/>
  <c r="S204" i="19"/>
  <c r="S205" i="19"/>
  <c r="S206" i="19"/>
  <c r="S207" i="19"/>
  <c r="S208" i="19"/>
  <c r="S209" i="19"/>
  <c r="S210" i="19"/>
  <c r="S211" i="19"/>
  <c r="S212" i="19"/>
  <c r="S213" i="19"/>
  <c r="S214"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R123" i="19"/>
  <c r="R124" i="19"/>
  <c r="R125" i="19"/>
  <c r="R126" i="19"/>
  <c r="R127" i="19"/>
  <c r="R128" i="19"/>
  <c r="R129" i="19"/>
  <c r="R130" i="19"/>
  <c r="R131" i="19"/>
  <c r="R132" i="19"/>
  <c r="R133" i="19"/>
  <c r="R134" i="19"/>
  <c r="R135" i="19"/>
  <c r="R136" i="19"/>
  <c r="R137" i="19"/>
  <c r="R138" i="19"/>
  <c r="R139" i="19"/>
  <c r="R140" i="19"/>
  <c r="R141" i="19"/>
  <c r="R142" i="19"/>
  <c r="R143" i="19"/>
  <c r="R144" i="19"/>
  <c r="R145" i="19"/>
  <c r="R146" i="19"/>
  <c r="R147" i="19"/>
  <c r="R148" i="19"/>
  <c r="R149" i="19"/>
  <c r="R150" i="19"/>
  <c r="R151" i="19"/>
  <c r="R152" i="19"/>
  <c r="R153" i="19"/>
  <c r="R154" i="19"/>
  <c r="R155" i="19"/>
  <c r="R156" i="19"/>
  <c r="R157" i="19"/>
  <c r="R158" i="19"/>
  <c r="R159" i="19"/>
  <c r="R160" i="19"/>
  <c r="R161" i="19"/>
  <c r="R162" i="19"/>
  <c r="R163" i="19"/>
  <c r="R164" i="19"/>
  <c r="R165" i="19"/>
  <c r="R166" i="19"/>
  <c r="R167" i="19"/>
  <c r="R168" i="19"/>
  <c r="R169" i="19"/>
  <c r="R170" i="19"/>
  <c r="R171" i="19"/>
  <c r="R172" i="19"/>
  <c r="R173" i="19"/>
  <c r="R174" i="19"/>
  <c r="R175" i="19"/>
  <c r="R176" i="19"/>
  <c r="R177" i="19"/>
  <c r="R178" i="19"/>
  <c r="R179" i="19"/>
  <c r="R180" i="19"/>
  <c r="R181" i="19"/>
  <c r="R182" i="19"/>
  <c r="R183" i="19"/>
  <c r="R184" i="19"/>
  <c r="R185" i="19"/>
  <c r="R186" i="19"/>
  <c r="R187" i="19"/>
  <c r="R188" i="19"/>
  <c r="R189" i="19"/>
  <c r="R190" i="19"/>
  <c r="R191" i="19"/>
  <c r="R192" i="19"/>
  <c r="R193" i="19"/>
  <c r="R194" i="19"/>
  <c r="R195" i="19"/>
  <c r="R196" i="19"/>
  <c r="R197" i="19"/>
  <c r="R198" i="19"/>
  <c r="R199" i="19"/>
  <c r="R200" i="19"/>
  <c r="R201" i="19"/>
  <c r="R202" i="19"/>
  <c r="R203" i="19"/>
  <c r="R204" i="19"/>
  <c r="R205" i="19"/>
  <c r="R206" i="19"/>
  <c r="R207" i="19"/>
  <c r="R208" i="19"/>
  <c r="R209" i="19"/>
  <c r="R210" i="19"/>
  <c r="R211" i="19"/>
  <c r="R212" i="19"/>
  <c r="R213" i="19"/>
  <c r="R214" i="19"/>
  <c r="Q17" i="19"/>
  <c r="Q18" i="19"/>
  <c r="Q19" i="19"/>
  <c r="Q20" i="19"/>
  <c r="Q21" i="19"/>
  <c r="Q22" i="19"/>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Q95" i="19"/>
  <c r="Q96" i="19"/>
  <c r="Q97" i="19"/>
  <c r="Q98" i="19"/>
  <c r="Q99" i="19"/>
  <c r="Q100" i="19"/>
  <c r="Q101" i="19"/>
  <c r="Q102" i="19"/>
  <c r="Q103" i="19"/>
  <c r="Q104" i="19"/>
  <c r="Q105" i="19"/>
  <c r="Q106" i="19"/>
  <c r="Q107" i="19"/>
  <c r="Q108" i="19"/>
  <c r="Q109" i="19"/>
  <c r="Q110" i="19"/>
  <c r="Q111" i="19"/>
  <c r="Q112" i="19"/>
  <c r="Q113" i="19"/>
  <c r="Q114" i="19"/>
  <c r="Q115" i="19"/>
  <c r="Q116" i="19"/>
  <c r="Q117" i="19"/>
  <c r="Q118" i="19"/>
  <c r="Q119" i="19"/>
  <c r="Q120" i="19"/>
  <c r="Q121" i="19"/>
  <c r="Q122" i="19"/>
  <c r="Q123" i="19"/>
  <c r="Q124" i="19"/>
  <c r="Q125" i="19"/>
  <c r="Q126" i="19"/>
  <c r="Q127" i="19"/>
  <c r="Q128" i="19"/>
  <c r="Q129" i="19"/>
  <c r="Q130" i="19"/>
  <c r="Q131" i="19"/>
  <c r="Q132" i="19"/>
  <c r="Q133" i="19"/>
  <c r="Q134" i="19"/>
  <c r="Q135" i="19"/>
  <c r="Q136" i="19"/>
  <c r="Q137" i="19"/>
  <c r="Q138" i="19"/>
  <c r="Q139" i="19"/>
  <c r="Q140" i="19"/>
  <c r="Q141" i="19"/>
  <c r="Q142" i="19"/>
  <c r="Q143" i="19"/>
  <c r="Q144" i="19"/>
  <c r="Q145" i="19"/>
  <c r="Q146" i="19"/>
  <c r="Q147" i="19"/>
  <c r="Q148" i="19"/>
  <c r="Q149" i="19"/>
  <c r="Q150" i="19"/>
  <c r="Q151" i="19"/>
  <c r="Q152" i="19"/>
  <c r="Q153" i="19"/>
  <c r="Q154" i="19"/>
  <c r="Q155" i="19"/>
  <c r="Q156" i="19"/>
  <c r="Q157" i="19"/>
  <c r="Q158" i="19"/>
  <c r="Q159" i="19"/>
  <c r="Q160" i="19"/>
  <c r="Q161" i="19"/>
  <c r="Q162" i="19"/>
  <c r="Q163" i="19"/>
  <c r="Q164" i="19"/>
  <c r="Q165" i="19"/>
  <c r="Q166" i="19"/>
  <c r="Q167" i="19"/>
  <c r="Q168" i="19"/>
  <c r="Q169" i="19"/>
  <c r="Q170" i="19"/>
  <c r="Q171" i="19"/>
  <c r="Q172" i="19"/>
  <c r="Q173" i="19"/>
  <c r="Q174" i="19"/>
  <c r="Q175" i="19"/>
  <c r="Q176" i="19"/>
  <c r="Q177" i="19"/>
  <c r="Q178" i="19"/>
  <c r="Q179" i="19"/>
  <c r="Q180" i="19"/>
  <c r="Q181" i="19"/>
  <c r="Q182" i="19"/>
  <c r="Q183" i="19"/>
  <c r="Q184" i="19"/>
  <c r="Q185" i="19"/>
  <c r="Q186" i="19"/>
  <c r="Q187" i="19"/>
  <c r="Q188" i="19"/>
  <c r="Q189" i="19"/>
  <c r="Q190" i="19"/>
  <c r="Q191" i="19"/>
  <c r="Q192" i="19"/>
  <c r="Q193" i="19"/>
  <c r="Q194" i="19"/>
  <c r="Q195" i="19"/>
  <c r="Q196" i="19"/>
  <c r="Q197" i="19"/>
  <c r="Q198" i="19"/>
  <c r="Q199" i="19"/>
  <c r="Q200" i="19"/>
  <c r="Q201" i="19"/>
  <c r="Q202" i="19"/>
  <c r="Q203" i="19"/>
  <c r="Q204" i="19"/>
  <c r="Q205" i="19"/>
  <c r="Q206" i="19"/>
  <c r="Q207" i="19"/>
  <c r="Q208" i="19"/>
  <c r="Q209" i="19"/>
  <c r="Q210" i="19"/>
  <c r="Q211" i="19"/>
  <c r="Q212" i="19"/>
  <c r="Q213" i="19"/>
  <c r="Q214"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J147" i="19"/>
  <c r="J45" i="19"/>
  <c r="J124" i="19"/>
  <c r="J128" i="19"/>
  <c r="J100" i="19"/>
  <c r="J72" i="19"/>
  <c r="J26" i="19"/>
  <c r="J158" i="19"/>
  <c r="J91" i="19"/>
  <c r="J168" i="19"/>
  <c r="J146" i="19"/>
  <c r="J101" i="19"/>
  <c r="J38" i="19"/>
  <c r="J48" i="19"/>
  <c r="J134" i="19"/>
  <c r="J167" i="19"/>
  <c r="J77" i="19"/>
  <c r="J18" i="19"/>
  <c r="J212" i="19"/>
  <c r="J79" i="19"/>
  <c r="J17" i="19"/>
  <c r="J139" i="19"/>
  <c r="J117" i="19"/>
  <c r="J153" i="19"/>
  <c r="J133" i="19"/>
  <c r="J178" i="19"/>
  <c r="J76" i="19"/>
  <c r="J199" i="19"/>
  <c r="J21" i="19"/>
  <c r="J159" i="19"/>
  <c r="J166" i="19"/>
  <c r="J52" i="19"/>
  <c r="J94" i="19"/>
  <c r="J82" i="19"/>
  <c r="J145" i="19"/>
  <c r="J116" i="19"/>
  <c r="J165" i="19"/>
  <c r="J125" i="19"/>
  <c r="J114" i="19"/>
  <c r="J63" i="19"/>
  <c r="J46" i="19"/>
  <c r="J90" i="19"/>
  <c r="J89" i="19"/>
  <c r="J127" i="19"/>
  <c r="J190" i="19"/>
  <c r="J115" i="19"/>
  <c r="J191" i="19"/>
  <c r="J174" i="19"/>
  <c r="J84" i="19"/>
  <c r="J73" i="19"/>
  <c r="J136" i="19"/>
  <c r="J42" i="19"/>
  <c r="J155" i="19"/>
  <c r="J203" i="19"/>
  <c r="J65" i="19"/>
  <c r="J22" i="19"/>
  <c r="J119" i="19"/>
  <c r="J85" i="19"/>
  <c r="J213" i="19"/>
  <c r="J170" i="19"/>
  <c r="J88" i="19"/>
  <c r="J71" i="19"/>
  <c r="J122" i="19"/>
  <c r="J81" i="19"/>
  <c r="J29" i="19"/>
  <c r="J121" i="19"/>
  <c r="J19" i="19"/>
  <c r="J161" i="19"/>
  <c r="J50" i="19"/>
  <c r="J32" i="19"/>
  <c r="J181" i="19"/>
  <c r="J93" i="19"/>
  <c r="J80" i="19"/>
  <c r="J198" i="19"/>
  <c r="J112" i="19"/>
  <c r="J66" i="19"/>
  <c r="J176" i="19"/>
  <c r="J192" i="19"/>
  <c r="J87" i="19"/>
  <c r="J194" i="19"/>
  <c r="J196" i="19"/>
  <c r="J186" i="19"/>
  <c r="J157" i="19"/>
  <c r="J113" i="19"/>
  <c r="J152" i="19"/>
  <c r="J33" i="19"/>
  <c r="J70" i="19"/>
  <c r="J40" i="19"/>
  <c r="J137" i="19"/>
  <c r="J43" i="19"/>
  <c r="J200" i="19"/>
  <c r="J141" i="19"/>
  <c r="J126" i="19"/>
  <c r="J187" i="19"/>
  <c r="J67" i="19"/>
  <c r="J57" i="19"/>
  <c r="J193" i="19"/>
  <c r="J195" i="19"/>
  <c r="J164" i="19"/>
  <c r="J34" i="19"/>
  <c r="J99" i="19"/>
  <c r="J175" i="19"/>
  <c r="J209" i="19"/>
  <c r="J95" i="19"/>
  <c r="J183" i="19"/>
  <c r="J143" i="19"/>
  <c r="J86" i="19"/>
  <c r="J28" i="19"/>
  <c r="J182" i="19"/>
  <c r="J206" i="19"/>
  <c r="J108" i="19"/>
  <c r="J169" i="19"/>
  <c r="J20" i="19"/>
  <c r="J68" i="19"/>
  <c r="J211" i="19"/>
  <c r="J78" i="19"/>
  <c r="J140" i="19"/>
  <c r="J37" i="19"/>
  <c r="J189" i="19"/>
  <c r="J180" i="19"/>
  <c r="J123" i="19"/>
  <c r="J25" i="19"/>
  <c r="J35" i="19"/>
  <c r="J64" i="19"/>
  <c r="J31" i="19"/>
  <c r="J207" i="19"/>
  <c r="J130" i="19"/>
  <c r="J41" i="19"/>
  <c r="J96" i="19"/>
  <c r="J148" i="19"/>
  <c r="J214" i="19"/>
  <c r="J105" i="19"/>
  <c r="J51" i="19"/>
  <c r="J129" i="19"/>
  <c r="J179" i="19"/>
  <c r="J60" i="19"/>
  <c r="J109" i="19"/>
  <c r="J75" i="19"/>
  <c r="J151" i="19"/>
  <c r="J150" i="19"/>
  <c r="J49" i="19"/>
  <c r="J171" i="19"/>
  <c r="J24" i="19"/>
  <c r="J55" i="19"/>
  <c r="J83" i="19"/>
  <c r="J197" i="19"/>
  <c r="J47" i="19"/>
  <c r="J30" i="19"/>
  <c r="J54" i="19"/>
  <c r="J173" i="19"/>
  <c r="J102" i="19"/>
  <c r="J177" i="19"/>
  <c r="J188" i="19"/>
  <c r="J149" i="19"/>
  <c r="J110" i="19"/>
  <c r="J23" i="19"/>
  <c r="J56" i="19"/>
  <c r="J118" i="19"/>
  <c r="J184" i="19"/>
  <c r="J59" i="19"/>
  <c r="J69" i="19"/>
  <c r="J144" i="19"/>
  <c r="J154" i="19"/>
  <c r="J202" i="19"/>
  <c r="J104" i="19"/>
  <c r="J44" i="19"/>
  <c r="J62" i="19"/>
  <c r="J142" i="19"/>
  <c r="J204" i="19"/>
  <c r="J172" i="19"/>
  <c r="J185" i="19"/>
  <c r="J138" i="19"/>
  <c r="J58" i="19"/>
  <c r="J98" i="19"/>
  <c r="J205" i="19"/>
  <c r="J210" i="19"/>
  <c r="J36" i="19"/>
  <c r="J106" i="19"/>
  <c r="J120" i="19"/>
  <c r="J107" i="19"/>
  <c r="J163" i="19"/>
  <c r="J160" i="19"/>
  <c r="J156" i="19"/>
  <c r="J103" i="19"/>
  <c r="J135" i="19"/>
  <c r="J27" i="19"/>
  <c r="J97" i="19"/>
  <c r="J92" i="19"/>
  <c r="J201" i="19"/>
  <c r="J162" i="19"/>
  <c r="J61" i="19"/>
  <c r="J53" i="19"/>
  <c r="J74" i="19"/>
  <c r="J131" i="19"/>
  <c r="J111" i="19"/>
  <c r="J132" i="19"/>
  <c r="J208" i="19"/>
  <c r="J39" i="19"/>
  <c r="I42" i="22" l="1"/>
  <c r="K42" i="22" l="1"/>
  <c r="J16" i="19"/>
  <c r="J15" i="19"/>
  <c r="I16" i="19" l="1"/>
  <c r="I15" i="19"/>
  <c r="K43" i="22"/>
  <c r="K41" i="22"/>
  <c r="J41" i="24" l="1"/>
  <c r="G35" i="24"/>
  <c r="G17" i="24"/>
  <c r="G26" i="24"/>
  <c r="G25" i="24"/>
  <c r="G24" i="24"/>
  <c r="G15" i="24"/>
  <c r="G14" i="24"/>
  <c r="G13" i="24"/>
  <c r="G11" i="24"/>
  <c r="G10" i="24"/>
  <c r="F38" i="24" l="1"/>
  <c r="G38" i="24" s="1"/>
  <c r="G41" i="24" s="1"/>
  <c r="J40" i="24" s="1"/>
  <c r="K40" i="24" s="1"/>
  <c r="J24" i="24" s="1"/>
  <c r="J13" i="24" l="1"/>
  <c r="J10" i="24"/>
  <c r="M52" i="22" l="1"/>
  <c r="D53" i="22"/>
  <c r="I43" i="22"/>
  <c r="I41" i="22"/>
  <c r="I40" i="22"/>
  <c r="K40" i="22" s="1"/>
  <c r="I39" i="22"/>
  <c r="K39" i="22" s="1"/>
  <c r="I38" i="22"/>
  <c r="K38" i="22" s="1"/>
  <c r="I37" i="22"/>
  <c r="K37" i="22" s="1"/>
  <c r="I34" i="22"/>
  <c r="I33" i="22"/>
  <c r="I32" i="22"/>
  <c r="I31" i="22"/>
  <c r="I30" i="22"/>
  <c r="I29" i="22"/>
  <c r="M13" i="22"/>
  <c r="M12" i="22"/>
  <c r="M11" i="22"/>
  <c r="C7" i="22"/>
  <c r="B7" i="22"/>
  <c r="A7" i="22"/>
  <c r="D15" i="22" l="1"/>
  <c r="G32" i="22"/>
  <c r="K32" i="22" s="1"/>
  <c r="G24" i="22"/>
  <c r="G34" i="22"/>
  <c r="K34" i="22" s="1"/>
  <c r="G31" i="22"/>
  <c r="K31" i="22" s="1"/>
  <c r="G23" i="22"/>
  <c r="G26" i="22"/>
  <c r="G30" i="22"/>
  <c r="K30" i="22" s="1"/>
  <c r="G22" i="22"/>
  <c r="G33" i="22"/>
  <c r="K33" i="22" s="1"/>
  <c r="G29" i="22"/>
  <c r="K29" i="22" s="1"/>
  <c r="G27" i="22"/>
  <c r="G28" i="22"/>
  <c r="G25" i="22"/>
  <c r="F20" i="22"/>
  <c r="G21" i="22"/>
  <c r="K45" i="22"/>
  <c r="M14" i="22"/>
  <c r="D17" i="22" l="1"/>
  <c r="M16" i="22"/>
  <c r="H7" i="22" l="1"/>
  <c r="G45" i="12" s="1"/>
  <c r="C5" i="9" l="1"/>
  <c r="C6" i="9"/>
  <c r="C8" i="9"/>
  <c r="C7" i="9"/>
  <c r="AF63" i="17" l="1"/>
  <c r="U63" i="17"/>
  <c r="K63" i="17"/>
  <c r="AE63" i="17"/>
  <c r="I63" i="17"/>
  <c r="M63" i="17"/>
  <c r="AC63" i="17"/>
  <c r="S63" i="17"/>
  <c r="H63" i="17"/>
  <c r="AI63" i="17"/>
  <c r="AB63" i="17"/>
  <c r="Q63" i="17"/>
  <c r="G63" i="17"/>
  <c r="AJ63" i="17"/>
  <c r="Y63" i="17"/>
  <c r="O63" i="17"/>
  <c r="D63" i="17"/>
  <c r="X63" i="17"/>
  <c r="AK63" i="17"/>
  <c r="AA63" i="17"/>
  <c r="P63" i="17"/>
  <c r="E63" i="17"/>
  <c r="AG63" i="17"/>
  <c r="W63" i="17"/>
  <c r="L63" i="17"/>
  <c r="T63" i="17"/>
  <c r="C63" i="17"/>
  <c r="AB64" i="17"/>
  <c r="Q64" i="17"/>
  <c r="G64" i="17"/>
  <c r="AK64" i="17"/>
  <c r="P64" i="17"/>
  <c r="AE64" i="17"/>
  <c r="AJ64" i="17"/>
  <c r="Y64" i="17"/>
  <c r="O64" i="17"/>
  <c r="D64" i="17"/>
  <c r="AI64" i="17"/>
  <c r="X64" i="17"/>
  <c r="M64" i="17"/>
  <c r="C64" i="17"/>
  <c r="AF64" i="17"/>
  <c r="U64" i="17"/>
  <c r="K64" i="17"/>
  <c r="T64" i="17"/>
  <c r="AG64" i="17"/>
  <c r="W64" i="17"/>
  <c r="L64" i="17"/>
  <c r="AC64" i="17"/>
  <c r="S64" i="17"/>
  <c r="H64" i="17"/>
  <c r="AA64" i="17"/>
  <c r="E64" i="17"/>
  <c r="I64" i="17"/>
  <c r="E62" i="17"/>
  <c r="AJ62" i="17"/>
  <c r="Y62" i="17"/>
  <c r="O62" i="17"/>
  <c r="C62" i="17"/>
  <c r="M62" i="17"/>
  <c r="S62" i="17"/>
  <c r="G62" i="17"/>
  <c r="AG62" i="17"/>
  <c r="W62" i="17"/>
  <c r="L62" i="17"/>
  <c r="AB62" i="17"/>
  <c r="AF62" i="17"/>
  <c r="U62" i="17"/>
  <c r="K62" i="17"/>
  <c r="AC62" i="17"/>
  <c r="H62" i="17"/>
  <c r="Q62" i="17"/>
  <c r="AE62" i="17"/>
  <c r="T62" i="17"/>
  <c r="I62" i="17"/>
  <c r="AK62" i="17"/>
  <c r="AA62" i="17"/>
  <c r="P62" i="17"/>
  <c r="D62" i="17"/>
  <c r="AI62" i="17"/>
  <c r="X62" i="17"/>
  <c r="AB61" i="17"/>
  <c r="Q61" i="17"/>
  <c r="G61" i="17"/>
  <c r="AA61" i="17"/>
  <c r="AJ61" i="17"/>
  <c r="Y61" i="17"/>
  <c r="O61" i="17"/>
  <c r="D61" i="17"/>
  <c r="AF61" i="17"/>
  <c r="K61" i="17"/>
  <c r="T61" i="17"/>
  <c r="AI61" i="17"/>
  <c r="X61" i="17"/>
  <c r="M61" i="17"/>
  <c r="C61" i="17"/>
  <c r="I61" i="17"/>
  <c r="AG61" i="17"/>
  <c r="W61" i="17"/>
  <c r="L61" i="17"/>
  <c r="AC61" i="17"/>
  <c r="S61" i="17"/>
  <c r="H61" i="17"/>
  <c r="AK61" i="17"/>
  <c r="P61" i="17"/>
  <c r="E61" i="17"/>
  <c r="U61" i="17"/>
  <c r="AE61" i="17"/>
  <c r="E7" i="22"/>
  <c r="I67" i="17"/>
  <c r="K67" i="17"/>
  <c r="D153" i="17" l="1"/>
  <c r="P153" i="17" s="1"/>
  <c r="Q153" i="17" s="1"/>
  <c r="D152" i="17"/>
  <c r="P152" i="17" s="1"/>
  <c r="Q152" i="17" s="1"/>
  <c r="D151" i="17"/>
  <c r="P151" i="17" s="1"/>
  <c r="Q151" i="17" s="1"/>
  <c r="D150" i="17"/>
  <c r="P150" i="17" s="1"/>
  <c r="Q150" i="17" s="1"/>
  <c r="D149" i="17"/>
  <c r="P149" i="17" s="1"/>
  <c r="Q149" i="17" s="1"/>
  <c r="D148" i="17"/>
  <c r="P148" i="17" s="1"/>
  <c r="Q148" i="17" s="1"/>
  <c r="D147" i="17"/>
  <c r="P147" i="17" s="1"/>
  <c r="Q147" i="17" s="1"/>
  <c r="D146" i="17"/>
  <c r="P146" i="17" s="1"/>
  <c r="Q146" i="17" s="1"/>
  <c r="D145" i="17"/>
  <c r="P145" i="17" s="1"/>
  <c r="Q145" i="17" s="1"/>
  <c r="D144" i="17"/>
  <c r="P144" i="17" s="1"/>
  <c r="Q144" i="17" s="1"/>
  <c r="D143" i="17"/>
  <c r="P143" i="17" s="1"/>
  <c r="Q143" i="17" s="1"/>
  <c r="Q154" i="17" l="1"/>
  <c r="AF74" i="17"/>
  <c r="AE75" i="17"/>
  <c r="AH75" i="17"/>
  <c r="AG75" i="17"/>
  <c r="AF75" i="17"/>
  <c r="AH74" i="17"/>
  <c r="AG74" i="17"/>
  <c r="AE74" i="17"/>
  <c r="AH73" i="17"/>
  <c r="AG73" i="17"/>
  <c r="AF73" i="17"/>
  <c r="AE73" i="17"/>
  <c r="AD75" i="17"/>
  <c r="AD74" i="17"/>
  <c r="AD73" i="17"/>
  <c r="AD72" i="17"/>
  <c r="AH72" i="17"/>
  <c r="AG72" i="17"/>
  <c r="AF72" i="17"/>
  <c r="AE72" i="17"/>
  <c r="AJ72" i="17" l="1"/>
  <c r="A79" i="17" s="1"/>
  <c r="AU7" i="17"/>
  <c r="AU8" i="17" s="1"/>
  <c r="AU10" i="17" s="1"/>
  <c r="AV7" i="17"/>
  <c r="AV8" i="17" s="1"/>
  <c r="AV10" i="17" s="1"/>
  <c r="AJ73" i="17"/>
  <c r="A81" i="17" s="1"/>
  <c r="AJ75" i="17"/>
  <c r="A102" i="17" s="1"/>
  <c r="AS7" i="17"/>
  <c r="AS8" i="17" s="1"/>
  <c r="AS10" i="17" s="1"/>
  <c r="AT7" i="17"/>
  <c r="AT8" i="17" s="1"/>
  <c r="AT10" i="17" s="1"/>
  <c r="AJ74" i="17"/>
  <c r="A90" i="17" s="1"/>
  <c r="A78" i="17" l="1"/>
  <c r="A72" i="17"/>
  <c r="A73" i="17"/>
  <c r="A76" i="17"/>
  <c r="A75" i="17"/>
  <c r="A99" i="17"/>
  <c r="A96" i="17"/>
  <c r="A74" i="17"/>
  <c r="A100" i="17"/>
  <c r="A97" i="17"/>
  <c r="A77" i="17"/>
  <c r="A101" i="17"/>
  <c r="A83" i="17"/>
  <c r="A80" i="17"/>
  <c r="A87" i="17"/>
  <c r="A98" i="17"/>
  <c r="A85" i="17"/>
  <c r="A86" i="17"/>
  <c r="A82" i="17"/>
  <c r="A103" i="17"/>
  <c r="A84" i="17"/>
  <c r="A94" i="17"/>
  <c r="A92" i="17"/>
  <c r="A95" i="17"/>
  <c r="A93" i="17"/>
  <c r="A89" i="17"/>
  <c r="A91" i="17"/>
  <c r="A88" i="17"/>
  <c r="A16" i="19" l="1"/>
  <c r="A15" i="19"/>
  <c r="W15" i="19" l="1"/>
  <c r="X16" i="19" l="1"/>
  <c r="Y16" i="19" s="1"/>
  <c r="X24" i="19"/>
  <c r="Y24" i="19" s="1"/>
  <c r="Z24" i="19" s="1"/>
  <c r="X32" i="19"/>
  <c r="Y32" i="19" s="1"/>
  <c r="Z32" i="19" s="1"/>
  <c r="X40" i="19"/>
  <c r="Y40" i="19" s="1"/>
  <c r="Z40" i="19" s="1"/>
  <c r="X48" i="19"/>
  <c r="Y48" i="19" s="1"/>
  <c r="Z48" i="19" s="1"/>
  <c r="X56" i="19"/>
  <c r="Y56" i="19" s="1"/>
  <c r="Z56" i="19" s="1"/>
  <c r="X64" i="19"/>
  <c r="Y64" i="19" s="1"/>
  <c r="Z64" i="19" s="1"/>
  <c r="X72" i="19"/>
  <c r="Y72" i="19" s="1"/>
  <c r="Z72" i="19" s="1"/>
  <c r="X80" i="19"/>
  <c r="Y80" i="19" s="1"/>
  <c r="Z80" i="19" s="1"/>
  <c r="X88" i="19"/>
  <c r="Y88" i="19" s="1"/>
  <c r="Z88" i="19" s="1"/>
  <c r="X96" i="19"/>
  <c r="Y96" i="19" s="1"/>
  <c r="Z96" i="19" s="1"/>
  <c r="X104" i="19"/>
  <c r="Y104" i="19" s="1"/>
  <c r="Z104" i="19" s="1"/>
  <c r="X112" i="19"/>
  <c r="Y112" i="19" s="1"/>
  <c r="Z112" i="19" s="1"/>
  <c r="X120" i="19"/>
  <c r="Y120" i="19" s="1"/>
  <c r="Z120" i="19" s="1"/>
  <c r="X128" i="19"/>
  <c r="Y128" i="19" s="1"/>
  <c r="Z128" i="19" s="1"/>
  <c r="X136" i="19"/>
  <c r="Y136" i="19" s="1"/>
  <c r="Z136" i="19" s="1"/>
  <c r="X144" i="19"/>
  <c r="Y144" i="19" s="1"/>
  <c r="Z144" i="19" s="1"/>
  <c r="X152" i="19"/>
  <c r="Y152" i="19" s="1"/>
  <c r="Z152" i="19" s="1"/>
  <c r="X17" i="19"/>
  <c r="Y17" i="19" s="1"/>
  <c r="X25" i="19"/>
  <c r="Y25" i="19" s="1"/>
  <c r="Z25" i="19" s="1"/>
  <c r="X33" i="19"/>
  <c r="Y33" i="19" s="1"/>
  <c r="Z33" i="19" s="1"/>
  <c r="X41" i="19"/>
  <c r="Y41" i="19" s="1"/>
  <c r="Z41" i="19" s="1"/>
  <c r="X49" i="19"/>
  <c r="Y49" i="19" s="1"/>
  <c r="Z49" i="19" s="1"/>
  <c r="X57" i="19"/>
  <c r="Y57" i="19" s="1"/>
  <c r="Z57" i="19" s="1"/>
  <c r="X65" i="19"/>
  <c r="Y65" i="19" s="1"/>
  <c r="Z65" i="19" s="1"/>
  <c r="X73" i="19"/>
  <c r="Y73" i="19" s="1"/>
  <c r="Z73" i="19" s="1"/>
  <c r="X81" i="19"/>
  <c r="Y81" i="19" s="1"/>
  <c r="Z81" i="19" s="1"/>
  <c r="X89" i="19"/>
  <c r="Y89" i="19" s="1"/>
  <c r="Z89" i="19" s="1"/>
  <c r="X97" i="19"/>
  <c r="Y97" i="19" s="1"/>
  <c r="Z97" i="19" s="1"/>
  <c r="X105" i="19"/>
  <c r="Y105" i="19" s="1"/>
  <c r="Z105" i="19" s="1"/>
  <c r="X113" i="19"/>
  <c r="Y113" i="19" s="1"/>
  <c r="Z113" i="19" s="1"/>
  <c r="X121" i="19"/>
  <c r="Y121" i="19" s="1"/>
  <c r="Z121" i="19" s="1"/>
  <c r="X129" i="19"/>
  <c r="Y129" i="19" s="1"/>
  <c r="Z129" i="19" s="1"/>
  <c r="X137" i="19"/>
  <c r="Y137" i="19" s="1"/>
  <c r="Z137" i="19" s="1"/>
  <c r="X145" i="19"/>
  <c r="Y145" i="19" s="1"/>
  <c r="Z145" i="19" s="1"/>
  <c r="X153" i="19"/>
  <c r="Y153" i="19" s="1"/>
  <c r="Z153" i="19" s="1"/>
  <c r="X161" i="19"/>
  <c r="Y161" i="19" s="1"/>
  <c r="Z161" i="19" s="1"/>
  <c r="X18" i="19"/>
  <c r="Y18" i="19" s="1"/>
  <c r="X26" i="19"/>
  <c r="Y26" i="19" s="1"/>
  <c r="Z26" i="19" s="1"/>
  <c r="X34" i="19"/>
  <c r="Y34" i="19" s="1"/>
  <c r="Z34" i="19" s="1"/>
  <c r="X42" i="19"/>
  <c r="Y42" i="19" s="1"/>
  <c r="Z42" i="19" s="1"/>
  <c r="X50" i="19"/>
  <c r="Y50" i="19" s="1"/>
  <c r="Z50" i="19" s="1"/>
  <c r="X58" i="19"/>
  <c r="Y58" i="19" s="1"/>
  <c r="Z58" i="19" s="1"/>
  <c r="X66" i="19"/>
  <c r="Y66" i="19" s="1"/>
  <c r="Z66" i="19" s="1"/>
  <c r="X74" i="19"/>
  <c r="Y74" i="19" s="1"/>
  <c r="Z74" i="19" s="1"/>
  <c r="X82" i="19"/>
  <c r="Y82" i="19" s="1"/>
  <c r="Z82" i="19" s="1"/>
  <c r="X90" i="19"/>
  <c r="Y90" i="19" s="1"/>
  <c r="Z90" i="19" s="1"/>
  <c r="X98" i="19"/>
  <c r="Y98" i="19" s="1"/>
  <c r="Z98" i="19" s="1"/>
  <c r="X106" i="19"/>
  <c r="Y106" i="19" s="1"/>
  <c r="Z106" i="19" s="1"/>
  <c r="X114" i="19"/>
  <c r="Y114" i="19" s="1"/>
  <c r="Z114" i="19" s="1"/>
  <c r="X122" i="19"/>
  <c r="Y122" i="19" s="1"/>
  <c r="Z122" i="19" s="1"/>
  <c r="X130" i="19"/>
  <c r="Y130" i="19" s="1"/>
  <c r="Z130" i="19" s="1"/>
  <c r="X138" i="19"/>
  <c r="Y138" i="19" s="1"/>
  <c r="Z138" i="19" s="1"/>
  <c r="X146" i="19"/>
  <c r="Y146" i="19" s="1"/>
  <c r="Z146" i="19" s="1"/>
  <c r="X154" i="19"/>
  <c r="Y154" i="19" s="1"/>
  <c r="Z154" i="19" s="1"/>
  <c r="X19" i="19"/>
  <c r="Y19" i="19" s="1"/>
  <c r="X27" i="19"/>
  <c r="Y27" i="19" s="1"/>
  <c r="Z27" i="19" s="1"/>
  <c r="X35" i="19"/>
  <c r="Y35" i="19" s="1"/>
  <c r="Z35" i="19" s="1"/>
  <c r="X43" i="19"/>
  <c r="Y43" i="19" s="1"/>
  <c r="Z43" i="19" s="1"/>
  <c r="X51" i="19"/>
  <c r="Y51" i="19" s="1"/>
  <c r="Z51" i="19" s="1"/>
  <c r="X59" i="19"/>
  <c r="Y59" i="19" s="1"/>
  <c r="Z59" i="19" s="1"/>
  <c r="X67" i="19"/>
  <c r="Y67" i="19" s="1"/>
  <c r="Z67" i="19" s="1"/>
  <c r="X75" i="19"/>
  <c r="Y75" i="19" s="1"/>
  <c r="Z75" i="19" s="1"/>
  <c r="X83" i="19"/>
  <c r="Y83" i="19" s="1"/>
  <c r="Z83" i="19" s="1"/>
  <c r="X91" i="19"/>
  <c r="Y91" i="19" s="1"/>
  <c r="Z91" i="19" s="1"/>
  <c r="X99" i="19"/>
  <c r="Y99" i="19" s="1"/>
  <c r="Z99" i="19" s="1"/>
  <c r="X107" i="19"/>
  <c r="Y107" i="19" s="1"/>
  <c r="Z107" i="19" s="1"/>
  <c r="X115" i="19"/>
  <c r="Y115" i="19" s="1"/>
  <c r="Z115" i="19" s="1"/>
  <c r="X123" i="19"/>
  <c r="Y123" i="19" s="1"/>
  <c r="Z123" i="19" s="1"/>
  <c r="X131" i="19"/>
  <c r="Y131" i="19" s="1"/>
  <c r="Z131" i="19" s="1"/>
  <c r="X139" i="19"/>
  <c r="Y139" i="19" s="1"/>
  <c r="Z139" i="19" s="1"/>
  <c r="X147" i="19"/>
  <c r="Y147" i="19" s="1"/>
  <c r="Z147" i="19" s="1"/>
  <c r="X155" i="19"/>
  <c r="Y155" i="19" s="1"/>
  <c r="Z155" i="19" s="1"/>
  <c r="X23" i="19"/>
  <c r="Y23" i="19" s="1"/>
  <c r="Z23" i="19" s="1"/>
  <c r="X31" i="19"/>
  <c r="Y31" i="19" s="1"/>
  <c r="Z31" i="19" s="1"/>
  <c r="X39" i="19"/>
  <c r="Y39" i="19" s="1"/>
  <c r="Z39" i="19" s="1"/>
  <c r="X47" i="19"/>
  <c r="Y47" i="19" s="1"/>
  <c r="Z47" i="19" s="1"/>
  <c r="X55" i="19"/>
  <c r="Y55" i="19" s="1"/>
  <c r="Z55" i="19" s="1"/>
  <c r="X63" i="19"/>
  <c r="Y63" i="19" s="1"/>
  <c r="Z63" i="19" s="1"/>
  <c r="X71" i="19"/>
  <c r="Y71" i="19" s="1"/>
  <c r="Z71" i="19" s="1"/>
  <c r="X79" i="19"/>
  <c r="Y79" i="19" s="1"/>
  <c r="Z79" i="19" s="1"/>
  <c r="X87" i="19"/>
  <c r="Y87" i="19" s="1"/>
  <c r="Z87" i="19" s="1"/>
  <c r="X95" i="19"/>
  <c r="Y95" i="19" s="1"/>
  <c r="Z95" i="19" s="1"/>
  <c r="X103" i="19"/>
  <c r="Y103" i="19" s="1"/>
  <c r="Z103" i="19" s="1"/>
  <c r="X111" i="19"/>
  <c r="Y111" i="19" s="1"/>
  <c r="Z111" i="19" s="1"/>
  <c r="X119" i="19"/>
  <c r="Y119" i="19" s="1"/>
  <c r="Z119" i="19" s="1"/>
  <c r="X127" i="19"/>
  <c r="Y127" i="19" s="1"/>
  <c r="Z127" i="19" s="1"/>
  <c r="X135" i="19"/>
  <c r="Y135" i="19" s="1"/>
  <c r="Z135" i="19" s="1"/>
  <c r="X143" i="19"/>
  <c r="Y143" i="19" s="1"/>
  <c r="Z143" i="19" s="1"/>
  <c r="X151" i="19"/>
  <c r="Y151" i="19" s="1"/>
  <c r="Z151" i="19" s="1"/>
  <c r="X159" i="19"/>
  <c r="Y159" i="19" s="1"/>
  <c r="Z159" i="19" s="1"/>
  <c r="X28" i="19"/>
  <c r="Y28" i="19" s="1"/>
  <c r="Z28" i="19" s="1"/>
  <c r="X46" i="19"/>
  <c r="Y46" i="19" s="1"/>
  <c r="Z46" i="19" s="1"/>
  <c r="X69" i="19"/>
  <c r="Y69" i="19" s="1"/>
  <c r="Z69" i="19" s="1"/>
  <c r="X92" i="19"/>
  <c r="Y92" i="19" s="1"/>
  <c r="Z92" i="19" s="1"/>
  <c r="X110" i="19"/>
  <c r="Y110" i="19" s="1"/>
  <c r="Z110" i="19" s="1"/>
  <c r="X133" i="19"/>
  <c r="Y133" i="19" s="1"/>
  <c r="Z133" i="19" s="1"/>
  <c r="X156" i="19"/>
  <c r="Y156" i="19" s="1"/>
  <c r="Z156" i="19" s="1"/>
  <c r="X166" i="19"/>
  <c r="Y166" i="19" s="1"/>
  <c r="Z166" i="19" s="1"/>
  <c r="X174" i="19"/>
  <c r="Y174" i="19" s="1"/>
  <c r="Z174" i="19" s="1"/>
  <c r="X182" i="19"/>
  <c r="Y182" i="19" s="1"/>
  <c r="Z182" i="19" s="1"/>
  <c r="X190" i="19"/>
  <c r="Y190" i="19" s="1"/>
  <c r="Z190" i="19" s="1"/>
  <c r="X198" i="19"/>
  <c r="Y198" i="19" s="1"/>
  <c r="Z198" i="19" s="1"/>
  <c r="X206" i="19"/>
  <c r="Y206" i="19" s="1"/>
  <c r="Z206" i="19" s="1"/>
  <c r="X214" i="19"/>
  <c r="Y214" i="19" s="1"/>
  <c r="Z214" i="19" s="1"/>
  <c r="X29" i="19"/>
  <c r="Y29" i="19" s="1"/>
  <c r="Z29" i="19" s="1"/>
  <c r="X52" i="19"/>
  <c r="Y52" i="19" s="1"/>
  <c r="Z52" i="19" s="1"/>
  <c r="X70" i="19"/>
  <c r="Y70" i="19" s="1"/>
  <c r="Z70" i="19" s="1"/>
  <c r="X93" i="19"/>
  <c r="Y93" i="19" s="1"/>
  <c r="Z93" i="19" s="1"/>
  <c r="X116" i="19"/>
  <c r="Y116" i="19" s="1"/>
  <c r="Z116" i="19" s="1"/>
  <c r="X134" i="19"/>
  <c r="Y134" i="19" s="1"/>
  <c r="Z134" i="19" s="1"/>
  <c r="X157" i="19"/>
  <c r="Y157" i="19" s="1"/>
  <c r="Z157" i="19" s="1"/>
  <c r="X167" i="19"/>
  <c r="Y167" i="19" s="1"/>
  <c r="Z167" i="19" s="1"/>
  <c r="X175" i="19"/>
  <c r="Y175" i="19" s="1"/>
  <c r="Z175" i="19" s="1"/>
  <c r="X183" i="19"/>
  <c r="Y183" i="19" s="1"/>
  <c r="Z183" i="19" s="1"/>
  <c r="X191" i="19"/>
  <c r="Y191" i="19" s="1"/>
  <c r="Z191" i="19" s="1"/>
  <c r="X199" i="19"/>
  <c r="Y199" i="19" s="1"/>
  <c r="Z199" i="19" s="1"/>
  <c r="X207" i="19"/>
  <c r="Y207" i="19" s="1"/>
  <c r="Z207" i="19" s="1"/>
  <c r="X30" i="19"/>
  <c r="Y30" i="19" s="1"/>
  <c r="Z30" i="19" s="1"/>
  <c r="X53" i="19"/>
  <c r="Y53" i="19" s="1"/>
  <c r="Z53" i="19" s="1"/>
  <c r="X76" i="19"/>
  <c r="Y76" i="19" s="1"/>
  <c r="Z76" i="19" s="1"/>
  <c r="X94" i="19"/>
  <c r="Y94" i="19" s="1"/>
  <c r="Z94" i="19" s="1"/>
  <c r="X117" i="19"/>
  <c r="Y117" i="19" s="1"/>
  <c r="Z117" i="19" s="1"/>
  <c r="X140" i="19"/>
  <c r="Y140" i="19" s="1"/>
  <c r="Z140" i="19" s="1"/>
  <c r="X158" i="19"/>
  <c r="Y158" i="19" s="1"/>
  <c r="Z158" i="19" s="1"/>
  <c r="X168" i="19"/>
  <c r="Y168" i="19" s="1"/>
  <c r="Z168" i="19" s="1"/>
  <c r="X176" i="19"/>
  <c r="Y176" i="19" s="1"/>
  <c r="Z176" i="19" s="1"/>
  <c r="X184" i="19"/>
  <c r="Y184" i="19" s="1"/>
  <c r="Z184" i="19" s="1"/>
  <c r="X192" i="19"/>
  <c r="Y192" i="19" s="1"/>
  <c r="Z192" i="19" s="1"/>
  <c r="X200" i="19"/>
  <c r="Y200" i="19" s="1"/>
  <c r="Z200" i="19" s="1"/>
  <c r="X208" i="19"/>
  <c r="Y208" i="19" s="1"/>
  <c r="Z208" i="19" s="1"/>
  <c r="X36" i="19"/>
  <c r="Y36" i="19" s="1"/>
  <c r="Z36" i="19" s="1"/>
  <c r="X54" i="19"/>
  <c r="Y54" i="19" s="1"/>
  <c r="Z54" i="19" s="1"/>
  <c r="X77" i="19"/>
  <c r="Y77" i="19" s="1"/>
  <c r="Z77" i="19" s="1"/>
  <c r="X100" i="19"/>
  <c r="Y100" i="19" s="1"/>
  <c r="Z100" i="19" s="1"/>
  <c r="X118" i="19"/>
  <c r="Y118" i="19" s="1"/>
  <c r="Z118" i="19" s="1"/>
  <c r="X141" i="19"/>
  <c r="Y141" i="19" s="1"/>
  <c r="Z141" i="19" s="1"/>
  <c r="X160" i="19"/>
  <c r="Y160" i="19" s="1"/>
  <c r="Z160" i="19" s="1"/>
  <c r="X169" i="19"/>
  <c r="Y169" i="19" s="1"/>
  <c r="Z169" i="19" s="1"/>
  <c r="X177" i="19"/>
  <c r="Y177" i="19" s="1"/>
  <c r="Z177" i="19" s="1"/>
  <c r="X185" i="19"/>
  <c r="Y185" i="19" s="1"/>
  <c r="Z185" i="19" s="1"/>
  <c r="X193" i="19"/>
  <c r="Y193" i="19" s="1"/>
  <c r="Z193" i="19" s="1"/>
  <c r="X201" i="19"/>
  <c r="Y201" i="19" s="1"/>
  <c r="Z201" i="19" s="1"/>
  <c r="X209" i="19"/>
  <c r="Y209" i="19" s="1"/>
  <c r="Z209" i="19" s="1"/>
  <c r="X37" i="19"/>
  <c r="Y37" i="19" s="1"/>
  <c r="Z37" i="19" s="1"/>
  <c r="X60" i="19"/>
  <c r="Y60" i="19" s="1"/>
  <c r="Z60" i="19" s="1"/>
  <c r="X78" i="19"/>
  <c r="Y78" i="19" s="1"/>
  <c r="Z78" i="19" s="1"/>
  <c r="X101" i="19"/>
  <c r="Y101" i="19" s="1"/>
  <c r="Z101" i="19" s="1"/>
  <c r="X124" i="19"/>
  <c r="Y124" i="19" s="1"/>
  <c r="Z124" i="19" s="1"/>
  <c r="X142" i="19"/>
  <c r="Y142" i="19" s="1"/>
  <c r="Z142" i="19" s="1"/>
  <c r="X162" i="19"/>
  <c r="Y162" i="19" s="1"/>
  <c r="Z162" i="19" s="1"/>
  <c r="X170" i="19"/>
  <c r="Y170" i="19" s="1"/>
  <c r="Z170" i="19" s="1"/>
  <c r="X178" i="19"/>
  <c r="Y178" i="19" s="1"/>
  <c r="Z178" i="19" s="1"/>
  <c r="X186" i="19"/>
  <c r="Y186" i="19" s="1"/>
  <c r="Z186" i="19" s="1"/>
  <c r="X194" i="19"/>
  <c r="Y194" i="19" s="1"/>
  <c r="Z194" i="19" s="1"/>
  <c r="X202" i="19"/>
  <c r="Y202" i="19" s="1"/>
  <c r="Z202" i="19" s="1"/>
  <c r="X210" i="19"/>
  <c r="Y210" i="19" s="1"/>
  <c r="Z210" i="19" s="1"/>
  <c r="X20" i="19"/>
  <c r="Y20" i="19" s="1"/>
  <c r="Z20" i="19" s="1"/>
  <c r="X38" i="19"/>
  <c r="Y38" i="19" s="1"/>
  <c r="Z38" i="19" s="1"/>
  <c r="X61" i="19"/>
  <c r="Y61" i="19" s="1"/>
  <c r="Z61" i="19" s="1"/>
  <c r="X84" i="19"/>
  <c r="Y84" i="19" s="1"/>
  <c r="Z84" i="19" s="1"/>
  <c r="X102" i="19"/>
  <c r="Y102" i="19" s="1"/>
  <c r="Z102" i="19" s="1"/>
  <c r="X125" i="19"/>
  <c r="Y125" i="19" s="1"/>
  <c r="Z125" i="19" s="1"/>
  <c r="X148" i="19"/>
  <c r="Y148" i="19" s="1"/>
  <c r="Z148" i="19" s="1"/>
  <c r="X163" i="19"/>
  <c r="Y163" i="19" s="1"/>
  <c r="Z163" i="19" s="1"/>
  <c r="X171" i="19"/>
  <c r="Y171" i="19" s="1"/>
  <c r="Z171" i="19" s="1"/>
  <c r="X179" i="19"/>
  <c r="Y179" i="19" s="1"/>
  <c r="Z179" i="19" s="1"/>
  <c r="X187" i="19"/>
  <c r="Y187" i="19" s="1"/>
  <c r="Z187" i="19" s="1"/>
  <c r="X195" i="19"/>
  <c r="Y195" i="19" s="1"/>
  <c r="Z195" i="19" s="1"/>
  <c r="X203" i="19"/>
  <c r="Y203" i="19" s="1"/>
  <c r="Z203" i="19" s="1"/>
  <c r="X211" i="19"/>
  <c r="Y211" i="19" s="1"/>
  <c r="Z211" i="19" s="1"/>
  <c r="X21" i="19"/>
  <c r="Y21" i="19" s="1"/>
  <c r="Z21" i="19" s="1"/>
  <c r="X44" i="19"/>
  <c r="Y44" i="19" s="1"/>
  <c r="Z44" i="19" s="1"/>
  <c r="X62" i="19"/>
  <c r="Y62" i="19" s="1"/>
  <c r="Z62" i="19" s="1"/>
  <c r="X85" i="19"/>
  <c r="Y85" i="19" s="1"/>
  <c r="Z85" i="19" s="1"/>
  <c r="X108" i="19"/>
  <c r="Y108" i="19" s="1"/>
  <c r="Z108" i="19" s="1"/>
  <c r="X126" i="19"/>
  <c r="Y126" i="19" s="1"/>
  <c r="Z126" i="19" s="1"/>
  <c r="X149" i="19"/>
  <c r="Y149" i="19" s="1"/>
  <c r="Z149" i="19" s="1"/>
  <c r="X164" i="19"/>
  <c r="Y164" i="19" s="1"/>
  <c r="Z164" i="19" s="1"/>
  <c r="X172" i="19"/>
  <c r="Y172" i="19" s="1"/>
  <c r="Z172" i="19" s="1"/>
  <c r="X180" i="19"/>
  <c r="Y180" i="19" s="1"/>
  <c r="Z180" i="19" s="1"/>
  <c r="X188" i="19"/>
  <c r="Y188" i="19" s="1"/>
  <c r="Z188" i="19" s="1"/>
  <c r="X196" i="19"/>
  <c r="Y196" i="19" s="1"/>
  <c r="Z196" i="19" s="1"/>
  <c r="X204" i="19"/>
  <c r="Y204" i="19" s="1"/>
  <c r="Z204" i="19" s="1"/>
  <c r="X212" i="19"/>
  <c r="Y212" i="19" s="1"/>
  <c r="Z212" i="19" s="1"/>
  <c r="X22" i="19"/>
  <c r="Y22" i="19" s="1"/>
  <c r="Z22" i="19" s="1"/>
  <c r="X45" i="19"/>
  <c r="Y45" i="19" s="1"/>
  <c r="Z45" i="19" s="1"/>
  <c r="X68" i="19"/>
  <c r="Y68" i="19" s="1"/>
  <c r="Z68" i="19" s="1"/>
  <c r="X86" i="19"/>
  <c r="Y86" i="19" s="1"/>
  <c r="Z86" i="19" s="1"/>
  <c r="X109" i="19"/>
  <c r="Y109" i="19" s="1"/>
  <c r="Z109" i="19" s="1"/>
  <c r="X132" i="19"/>
  <c r="Y132" i="19" s="1"/>
  <c r="Z132" i="19" s="1"/>
  <c r="X150" i="19"/>
  <c r="Y150" i="19" s="1"/>
  <c r="Z150" i="19" s="1"/>
  <c r="X165" i="19"/>
  <c r="Y165" i="19" s="1"/>
  <c r="Z165" i="19" s="1"/>
  <c r="X173" i="19"/>
  <c r="Y173" i="19" s="1"/>
  <c r="Z173" i="19" s="1"/>
  <c r="X181" i="19"/>
  <c r="Y181" i="19" s="1"/>
  <c r="Z181" i="19" s="1"/>
  <c r="X189" i="19"/>
  <c r="Y189" i="19" s="1"/>
  <c r="Z189" i="19" s="1"/>
  <c r="X197" i="19"/>
  <c r="Y197" i="19" s="1"/>
  <c r="Z197" i="19" s="1"/>
  <c r="X205" i="19"/>
  <c r="Y205" i="19" s="1"/>
  <c r="Z205" i="19" s="1"/>
  <c r="X213" i="19"/>
  <c r="Y213" i="19" s="1"/>
  <c r="Z213" i="19" s="1"/>
  <c r="X15" i="19"/>
  <c r="Y15" i="19" l="1"/>
  <c r="Z16" i="19" s="1"/>
  <c r="AF1" i="9"/>
  <c r="AE1" i="9"/>
  <c r="AD1" i="9"/>
  <c r="AC1" i="9"/>
  <c r="AB1" i="9"/>
  <c r="AA1" i="9"/>
  <c r="Z1" i="9"/>
  <c r="Y1" i="9"/>
  <c r="V2" i="9"/>
  <c r="T2" i="9"/>
  <c r="R2" i="9"/>
  <c r="P2" i="9"/>
  <c r="N2" i="9"/>
  <c r="C27" i="9"/>
  <c r="D54" i="22" s="1"/>
  <c r="Z19" i="19" l="1"/>
  <c r="Z18" i="19"/>
  <c r="Z17" i="19"/>
  <c r="Z15" i="19"/>
  <c r="S16" i="19"/>
  <c r="S15" i="19"/>
  <c r="Q16" i="19"/>
  <c r="R16" i="19"/>
  <c r="R15" i="19"/>
  <c r="Q15" i="19"/>
  <c r="AA16" i="19" l="1"/>
  <c r="AA24" i="19"/>
  <c r="AA32" i="19"/>
  <c r="AA40" i="19"/>
  <c r="AA48" i="19"/>
  <c r="AA56" i="19"/>
  <c r="AA64" i="19"/>
  <c r="AA72" i="19"/>
  <c r="AA80" i="19"/>
  <c r="AA88" i="19"/>
  <c r="AA96" i="19"/>
  <c r="AA104" i="19"/>
  <c r="AA112" i="19"/>
  <c r="AA120" i="19"/>
  <c r="AA128" i="19"/>
  <c r="AA136" i="19"/>
  <c r="AA144" i="19"/>
  <c r="AA152" i="19"/>
  <c r="AA160" i="19"/>
  <c r="AA168" i="19"/>
  <c r="AA176" i="19"/>
  <c r="AA184" i="19"/>
  <c r="AA192" i="19"/>
  <c r="AA200" i="19"/>
  <c r="AA208" i="19"/>
  <c r="AA17" i="19"/>
  <c r="AA25" i="19"/>
  <c r="AA33" i="19"/>
  <c r="AA41" i="19"/>
  <c r="AA49" i="19"/>
  <c r="AA57" i="19"/>
  <c r="AA65" i="19"/>
  <c r="AA73" i="19"/>
  <c r="AA81" i="19"/>
  <c r="AA89" i="19"/>
  <c r="AA97" i="19"/>
  <c r="AA105" i="19"/>
  <c r="AA113" i="19"/>
  <c r="AA121" i="19"/>
  <c r="AA129" i="19"/>
  <c r="AA137" i="19"/>
  <c r="AA145" i="19"/>
  <c r="AA153" i="19"/>
  <c r="AA161" i="19"/>
  <c r="AA169" i="19"/>
  <c r="AA177" i="19"/>
  <c r="AA185" i="19"/>
  <c r="AA193" i="19"/>
  <c r="AA201" i="19"/>
  <c r="AA209" i="19"/>
  <c r="AA18" i="19"/>
  <c r="AA26" i="19"/>
  <c r="AA34" i="19"/>
  <c r="AA42" i="19"/>
  <c r="AA50" i="19"/>
  <c r="AA58" i="19"/>
  <c r="AA66" i="19"/>
  <c r="AA74" i="19"/>
  <c r="AA82" i="19"/>
  <c r="AA90" i="19"/>
  <c r="AA98" i="19"/>
  <c r="AA106" i="19"/>
  <c r="AA114" i="19"/>
  <c r="AA122" i="19"/>
  <c r="AA130" i="19"/>
  <c r="AA138" i="19"/>
  <c r="AA146" i="19"/>
  <c r="AA154" i="19"/>
  <c r="AA162" i="19"/>
  <c r="AA170" i="19"/>
  <c r="AA178" i="19"/>
  <c r="AA186" i="19"/>
  <c r="AA194" i="19"/>
  <c r="AA202" i="19"/>
  <c r="AA210" i="19"/>
  <c r="AA19" i="19"/>
  <c r="AA27" i="19"/>
  <c r="AA35" i="19"/>
  <c r="AA43" i="19"/>
  <c r="AA51" i="19"/>
  <c r="AA59" i="19"/>
  <c r="AA67" i="19"/>
  <c r="AA75" i="19"/>
  <c r="AA83" i="19"/>
  <c r="AA91" i="19"/>
  <c r="AA99" i="19"/>
  <c r="AA107" i="19"/>
  <c r="AA115" i="19"/>
  <c r="AA123" i="19"/>
  <c r="AA131" i="19"/>
  <c r="AA139" i="19"/>
  <c r="AA147" i="19"/>
  <c r="AA155" i="19"/>
  <c r="AA163" i="19"/>
  <c r="AA171" i="19"/>
  <c r="AA179" i="19"/>
  <c r="AA187" i="19"/>
  <c r="AA195" i="19"/>
  <c r="AA203" i="19"/>
  <c r="AA211" i="19"/>
  <c r="AA20" i="19"/>
  <c r="AA23" i="19"/>
  <c r="AA31" i="19"/>
  <c r="AA39" i="19"/>
  <c r="AA47" i="19"/>
  <c r="AA55" i="19"/>
  <c r="AA63" i="19"/>
  <c r="AA71" i="19"/>
  <c r="AA79" i="19"/>
  <c r="AA87" i="19"/>
  <c r="AA95" i="19"/>
  <c r="AA103" i="19"/>
  <c r="AA111" i="19"/>
  <c r="AA119" i="19"/>
  <c r="AA127" i="19"/>
  <c r="AA135" i="19"/>
  <c r="AA143" i="19"/>
  <c r="AA151" i="19"/>
  <c r="AA159" i="19"/>
  <c r="AA167" i="19"/>
  <c r="AA175" i="19"/>
  <c r="AA183" i="19"/>
  <c r="AA191" i="19"/>
  <c r="AA199" i="19"/>
  <c r="AA207" i="19"/>
  <c r="AA21" i="19"/>
  <c r="AA44" i="19"/>
  <c r="AA62" i="19"/>
  <c r="AA85" i="19"/>
  <c r="AA108" i="19"/>
  <c r="AA126" i="19"/>
  <c r="AA149" i="19"/>
  <c r="AA172" i="19"/>
  <c r="AA190" i="19"/>
  <c r="AA213" i="19"/>
  <c r="AA22" i="19"/>
  <c r="AA45" i="19"/>
  <c r="AA68" i="19"/>
  <c r="AA86" i="19"/>
  <c r="AA109" i="19"/>
  <c r="AA132" i="19"/>
  <c r="AA150" i="19"/>
  <c r="AA173" i="19"/>
  <c r="AA196" i="19"/>
  <c r="AA214" i="19"/>
  <c r="AA28" i="19"/>
  <c r="AA46" i="19"/>
  <c r="AA69" i="19"/>
  <c r="AA92" i="19"/>
  <c r="AA110" i="19"/>
  <c r="AA133" i="19"/>
  <c r="AA156" i="19"/>
  <c r="AA174" i="19"/>
  <c r="AA197" i="19"/>
  <c r="AA29" i="19"/>
  <c r="AA52" i="19"/>
  <c r="AA70" i="19"/>
  <c r="AA93" i="19"/>
  <c r="AA116" i="19"/>
  <c r="AA134" i="19"/>
  <c r="AA157" i="19"/>
  <c r="AA180" i="19"/>
  <c r="AA198" i="19"/>
  <c r="AA30" i="19"/>
  <c r="AA53" i="19"/>
  <c r="AA76" i="19"/>
  <c r="AA94" i="19"/>
  <c r="AA117" i="19"/>
  <c r="AA140" i="19"/>
  <c r="AA158" i="19"/>
  <c r="AA181" i="19"/>
  <c r="AA204" i="19"/>
  <c r="AA36" i="19"/>
  <c r="AA54" i="19"/>
  <c r="AA77" i="19"/>
  <c r="AA100" i="19"/>
  <c r="AA118" i="19"/>
  <c r="AA141" i="19"/>
  <c r="AA164" i="19"/>
  <c r="AA182" i="19"/>
  <c r="AA205" i="19"/>
  <c r="AA37" i="19"/>
  <c r="AA60" i="19"/>
  <c r="AA78" i="19"/>
  <c r="AA101" i="19"/>
  <c r="AA124" i="19"/>
  <c r="AA142" i="19"/>
  <c r="AA165" i="19"/>
  <c r="AA188" i="19"/>
  <c r="AA206" i="19"/>
  <c r="AA38" i="19"/>
  <c r="AA61" i="19"/>
  <c r="AA84" i="19"/>
  <c r="AA102" i="19"/>
  <c r="AA125" i="19"/>
  <c r="AA148" i="19"/>
  <c r="AA166" i="19"/>
  <c r="AA189" i="19"/>
  <c r="AA212" i="19"/>
  <c r="S14" i="19"/>
  <c r="Q14" i="19"/>
  <c r="R14" i="19"/>
  <c r="AA15" i="19"/>
  <c r="M45" i="22" l="1"/>
  <c r="M36" i="22"/>
  <c r="I28" i="22"/>
  <c r="K28" i="22" s="1"/>
  <c r="I27" i="22"/>
  <c r="K27" i="22" s="1"/>
  <c r="I25" i="22"/>
  <c r="K25" i="22" s="1"/>
  <c r="I26" i="22"/>
  <c r="K26" i="22" s="1"/>
  <c r="I24" i="22"/>
  <c r="K24" i="22" s="1"/>
  <c r="I22" i="22"/>
  <c r="K22" i="22" s="1"/>
  <c r="I21" i="22"/>
  <c r="K21" i="22" s="1"/>
  <c r="I23" i="22"/>
  <c r="K23" i="22" s="1"/>
  <c r="AH79" i="17"/>
  <c r="AG79" i="17"/>
  <c r="AF79" i="17"/>
  <c r="AE79" i="17"/>
  <c r="AG76" i="17"/>
  <c r="AE76" i="17"/>
  <c r="AF76" i="17"/>
  <c r="AH76" i="17"/>
  <c r="AF77" i="17"/>
  <c r="AH77" i="17"/>
  <c r="AG77" i="17"/>
  <c r="AE77" i="17"/>
  <c r="AG78" i="17"/>
  <c r="AF78" i="17"/>
  <c r="AE78" i="17"/>
  <c r="AH78" i="17"/>
  <c r="C112" i="17"/>
  <c r="AD77" i="17" s="1"/>
  <c r="C104" i="17"/>
  <c r="AD76" i="17" s="1"/>
  <c r="C120" i="17"/>
  <c r="AD78" i="17" s="1"/>
  <c r="C128" i="17"/>
  <c r="AD79" i="17" s="1"/>
  <c r="G43" i="12" l="1"/>
  <c r="M53" i="22"/>
  <c r="D51" i="22"/>
  <c r="M50" i="22"/>
  <c r="AJ77" i="17"/>
  <c r="A112" i="17" s="1"/>
  <c r="K36" i="22"/>
  <c r="AJ78" i="17"/>
  <c r="A124" i="17" s="1"/>
  <c r="AJ79" i="17"/>
  <c r="A133" i="17" s="1"/>
  <c r="AW7" i="17"/>
  <c r="AW8" i="17" s="1"/>
  <c r="AW10" i="17" s="1"/>
  <c r="AJ76" i="17"/>
  <c r="AY7" i="17"/>
  <c r="AY8" i="17" s="1"/>
  <c r="AY10" i="17" s="1"/>
  <c r="BA7" i="17"/>
  <c r="BA8" i="17" s="1"/>
  <c r="BA10" i="17" s="1"/>
  <c r="BB7" i="17"/>
  <c r="BB8" i="17" s="1"/>
  <c r="BB10" i="17" s="1"/>
  <c r="AX7" i="17"/>
  <c r="AX8" i="17" s="1"/>
  <c r="AX10" i="17" s="1"/>
  <c r="AZ7" i="17"/>
  <c r="AZ8" i="17" s="1"/>
  <c r="AZ10" i="17" s="1"/>
  <c r="A116" i="17" l="1"/>
  <c r="A118" i="17"/>
  <c r="A113" i="17"/>
  <c r="A119" i="17"/>
  <c r="A115" i="17"/>
  <c r="A114" i="17"/>
  <c r="A117" i="17"/>
  <c r="D49" i="22"/>
  <c r="M51" i="22"/>
  <c r="M48" i="22"/>
  <c r="M49" i="22"/>
  <c r="A123" i="17"/>
  <c r="A126" i="17"/>
  <c r="A122" i="17"/>
  <c r="A121" i="17"/>
  <c r="A125" i="17"/>
  <c r="A127" i="17"/>
  <c r="A120" i="17"/>
  <c r="A130" i="17"/>
  <c r="A128" i="17"/>
  <c r="A134" i="17"/>
  <c r="A129" i="17"/>
  <c r="A135" i="17"/>
  <c r="A132" i="17"/>
  <c r="A131" i="17"/>
  <c r="BC10" i="17"/>
  <c r="A53" i="17" s="1"/>
  <c r="A105" i="17"/>
  <c r="A106" i="17"/>
  <c r="A108" i="17"/>
  <c r="A111" i="17"/>
  <c r="A110" i="17"/>
  <c r="A107" i="17"/>
  <c r="A109" i="17"/>
  <c r="A104" i="17"/>
  <c r="D55" i="22" l="1"/>
  <c r="M54" i="22"/>
  <c r="A42" i="17"/>
  <c r="A52" i="17"/>
  <c r="A19" i="17"/>
  <c r="A13" i="17"/>
  <c r="A14" i="17"/>
  <c r="A22" i="17"/>
  <c r="A31" i="17"/>
  <c r="A30" i="17"/>
  <c r="A44" i="17"/>
  <c r="A55" i="17"/>
  <c r="A21" i="17"/>
  <c r="A32" i="17"/>
  <c r="A25" i="17"/>
  <c r="A8" i="17"/>
  <c r="A7" i="17"/>
  <c r="A12" i="17"/>
  <c r="A11" i="17"/>
  <c r="A26" i="17"/>
  <c r="A24" i="17"/>
  <c r="A40" i="17"/>
  <c r="A29" i="17"/>
  <c r="A27" i="17"/>
  <c r="A16" i="17"/>
  <c r="A48" i="17"/>
  <c r="A23" i="17"/>
  <c r="A18" i="17"/>
  <c r="A41" i="17"/>
  <c r="A35" i="17"/>
  <c r="A15" i="17"/>
  <c r="A43" i="17"/>
  <c r="A34" i="17"/>
  <c r="A20" i="17"/>
  <c r="A17" i="17"/>
  <c r="A39" i="17"/>
  <c r="A49" i="17"/>
  <c r="A33" i="17"/>
  <c r="A10" i="17"/>
  <c r="A28" i="17"/>
  <c r="A38" i="17"/>
  <c r="A36" i="17"/>
  <c r="A37" i="17"/>
  <c r="A46" i="17"/>
  <c r="A9" i="17"/>
  <c r="A51" i="17"/>
  <c r="A54" i="17"/>
  <c r="A47" i="17"/>
  <c r="A50" i="17"/>
  <c r="A45" i="17"/>
  <c r="M56" i="22" l="1"/>
  <c r="M57" i="22" s="1"/>
  <c r="I7" i="22" l="1"/>
  <c r="J45" i="12" s="1"/>
  <c r="N45" i="12" s="1"/>
  <c r="K7" i="22"/>
  <c r="A15" i="12"/>
  <c r="AF55" i="17" l="1"/>
  <c r="AB55" i="17"/>
  <c r="AA55" i="17"/>
  <c r="Z55" i="17"/>
  <c r="Y55" i="17"/>
  <c r="X55" i="17"/>
  <c r="AF54" i="17"/>
  <c r="AB54" i="17"/>
  <c r="AA54" i="17"/>
  <c r="Z54" i="17"/>
  <c r="Y54" i="17"/>
  <c r="X54" i="17"/>
  <c r="AF53" i="17"/>
  <c r="AB53" i="17"/>
  <c r="AA53" i="17"/>
  <c r="Z53" i="17"/>
  <c r="Y53" i="17"/>
  <c r="X53" i="17"/>
  <c r="AF52" i="17"/>
  <c r="AB52" i="17"/>
  <c r="AA52" i="17"/>
  <c r="Z52" i="17"/>
  <c r="Y52" i="17"/>
  <c r="X52" i="17"/>
  <c r="AF51" i="17"/>
  <c r="AB51" i="17"/>
  <c r="AA51" i="17"/>
  <c r="Z51" i="17"/>
  <c r="Y51" i="17"/>
  <c r="X51" i="17"/>
  <c r="AF50" i="17"/>
  <c r="AB50" i="17"/>
  <c r="AA50" i="17"/>
  <c r="Z50" i="17"/>
  <c r="Y50" i="17"/>
  <c r="X50" i="17"/>
  <c r="AF49" i="17"/>
  <c r="AB49" i="17"/>
  <c r="AA49" i="17"/>
  <c r="Z49" i="17"/>
  <c r="Y49" i="17"/>
  <c r="X49" i="17"/>
  <c r="AI48" i="17"/>
  <c r="AH48" i="17"/>
  <c r="AG48" i="17"/>
  <c r="AF48" i="17"/>
  <c r="AE48" i="17"/>
  <c r="AD48" i="17"/>
  <c r="AC48" i="17"/>
  <c r="AB48" i="17"/>
  <c r="X48" i="17"/>
  <c r="O48" i="17"/>
  <c r="AA48" i="17" s="1"/>
  <c r="N48" i="17"/>
  <c r="Z48" i="17" s="1"/>
  <c r="M48" i="17"/>
  <c r="Y48" i="17" s="1"/>
  <c r="AI47" i="17"/>
  <c r="AH47" i="17"/>
  <c r="AG47" i="17"/>
  <c r="AF47" i="17"/>
  <c r="AE47" i="17"/>
  <c r="AD47" i="17"/>
  <c r="AC47" i="17"/>
  <c r="AB47" i="17"/>
  <c r="X47" i="17"/>
  <c r="O47" i="17"/>
  <c r="AA47" i="17" s="1"/>
  <c r="N47" i="17"/>
  <c r="Z47" i="17" s="1"/>
  <c r="M47" i="17"/>
  <c r="Y47" i="17" s="1"/>
  <c r="AI46" i="17"/>
  <c r="AH46" i="17"/>
  <c r="AG46" i="17"/>
  <c r="AF46" i="17"/>
  <c r="AE46" i="17"/>
  <c r="AD46" i="17"/>
  <c r="AC46" i="17"/>
  <c r="AB46" i="17"/>
  <c r="X46" i="17"/>
  <c r="O46" i="17"/>
  <c r="AA46" i="17" s="1"/>
  <c r="N46" i="17"/>
  <c r="Z46" i="17" s="1"/>
  <c r="M46" i="17"/>
  <c r="Y46" i="17" s="1"/>
  <c r="AI45" i="17"/>
  <c r="AH45" i="17"/>
  <c r="AG45" i="17"/>
  <c r="AF45" i="17"/>
  <c r="AE45" i="17"/>
  <c r="AD45" i="17"/>
  <c r="AC45" i="17"/>
  <c r="AB45" i="17"/>
  <c r="X45" i="17"/>
  <c r="O45" i="17"/>
  <c r="AA45" i="17" s="1"/>
  <c r="N45" i="17"/>
  <c r="Z45" i="17" s="1"/>
  <c r="M45" i="17"/>
  <c r="Y45" i="17" s="1"/>
  <c r="AI44" i="17"/>
  <c r="AH44" i="17"/>
  <c r="AG44" i="17"/>
  <c r="AF44" i="17"/>
  <c r="AE44" i="17"/>
  <c r="AD44" i="17"/>
  <c r="AC44" i="17"/>
  <c r="AB44" i="17"/>
  <c r="X44" i="17"/>
  <c r="O44" i="17"/>
  <c r="AA44" i="17" s="1"/>
  <c r="N44" i="17"/>
  <c r="Z44" i="17" s="1"/>
  <c r="M44" i="17"/>
  <c r="Y44" i="17" s="1"/>
  <c r="AI43" i="17"/>
  <c r="AH43" i="17"/>
  <c r="AG43" i="17"/>
  <c r="AF43" i="17"/>
  <c r="AE43" i="17"/>
  <c r="AD43" i="17"/>
  <c r="AC43" i="17"/>
  <c r="AB43" i="17"/>
  <c r="X43" i="17"/>
  <c r="O43" i="17"/>
  <c r="AA43" i="17" s="1"/>
  <c r="N43" i="17"/>
  <c r="Z43" i="17" s="1"/>
  <c r="M43" i="17"/>
  <c r="Y43" i="17" s="1"/>
  <c r="AI42" i="17"/>
  <c r="AH42" i="17"/>
  <c r="AG42" i="17"/>
  <c r="AF42" i="17"/>
  <c r="AE42" i="17"/>
  <c r="AD42" i="17"/>
  <c r="AC42" i="17"/>
  <c r="AB42" i="17"/>
  <c r="X42" i="17"/>
  <c r="O42" i="17"/>
  <c r="AA42" i="17" s="1"/>
  <c r="N42" i="17"/>
  <c r="Z42" i="17" s="1"/>
  <c r="M42" i="17"/>
  <c r="Y42" i="17" s="1"/>
  <c r="AF41" i="17"/>
  <c r="AB41" i="17"/>
  <c r="AA41" i="17"/>
  <c r="Z41" i="17"/>
  <c r="Y41" i="17"/>
  <c r="X41" i="17"/>
  <c r="W41" i="17"/>
  <c r="V41" i="17"/>
  <c r="U41" i="17"/>
  <c r="AG41" i="17" s="1"/>
  <c r="S41" i="17"/>
  <c r="R41" i="17"/>
  <c r="AD41" i="17" s="1"/>
  <c r="Q41" i="17"/>
  <c r="AC41" i="17" s="1"/>
  <c r="AF40" i="17"/>
  <c r="AB40" i="17"/>
  <c r="AA40" i="17"/>
  <c r="Z40" i="17"/>
  <c r="Y40" i="17"/>
  <c r="X40" i="17"/>
  <c r="W40" i="17"/>
  <c r="V40" i="17"/>
  <c r="AH40" i="17" s="1"/>
  <c r="U40" i="17"/>
  <c r="AG40" i="17" s="1"/>
  <c r="S40" i="17"/>
  <c r="AE40" i="17" s="1"/>
  <c r="R40" i="17"/>
  <c r="Q40" i="17"/>
  <c r="AF39" i="17"/>
  <c r="AD39" i="17"/>
  <c r="AB39" i="17"/>
  <c r="AA39" i="17"/>
  <c r="Z39" i="17"/>
  <c r="Y39" i="17"/>
  <c r="X39" i="17"/>
  <c r="W39" i="17"/>
  <c r="AI39" i="17" s="1"/>
  <c r="V39" i="17"/>
  <c r="U39" i="17"/>
  <c r="S39" i="17"/>
  <c r="R39" i="17"/>
  <c r="Q39" i="17"/>
  <c r="AF38" i="17"/>
  <c r="AB38" i="17"/>
  <c r="AA38" i="17"/>
  <c r="Z38" i="17"/>
  <c r="Y38" i="17"/>
  <c r="X38" i="17"/>
  <c r="W38" i="17"/>
  <c r="V38" i="17"/>
  <c r="AH38" i="17" s="1"/>
  <c r="U38" i="17"/>
  <c r="AG38" i="17" s="1"/>
  <c r="S38" i="17"/>
  <c r="R38" i="17"/>
  <c r="AD38" i="17" s="1"/>
  <c r="Q38" i="17"/>
  <c r="AC38" i="17" s="1"/>
  <c r="AF37" i="17"/>
  <c r="AB37" i="17"/>
  <c r="AA37" i="17"/>
  <c r="Z37" i="17"/>
  <c r="Y37" i="17"/>
  <c r="X37" i="17"/>
  <c r="W37" i="17"/>
  <c r="AI37" i="17" s="1"/>
  <c r="V37" i="17"/>
  <c r="U37" i="17"/>
  <c r="AG37" i="17" s="1"/>
  <c r="S37" i="17"/>
  <c r="R37" i="17"/>
  <c r="AD37" i="17" s="1"/>
  <c r="Q37" i="17"/>
  <c r="AF36" i="17"/>
  <c r="AB36" i="17"/>
  <c r="AA36" i="17"/>
  <c r="Z36" i="17"/>
  <c r="Y36" i="17"/>
  <c r="X36" i="17"/>
  <c r="W36" i="17"/>
  <c r="V36" i="17"/>
  <c r="U36" i="17"/>
  <c r="S36" i="17"/>
  <c r="AE36" i="17" s="1"/>
  <c r="R36" i="17"/>
  <c r="Q36" i="17"/>
  <c r="AC36" i="17" s="1"/>
  <c r="AF35" i="17"/>
  <c r="AB35" i="17"/>
  <c r="AA35" i="17"/>
  <c r="Z35" i="17"/>
  <c r="Y35" i="17"/>
  <c r="X35" i="17"/>
  <c r="W35" i="17"/>
  <c r="AI35" i="17" s="1"/>
  <c r="V35" i="17"/>
  <c r="AH35" i="17" s="1"/>
  <c r="U35" i="17"/>
  <c r="AG35" i="17" s="1"/>
  <c r="S35" i="17"/>
  <c r="AE35" i="17" s="1"/>
  <c r="R35" i="17"/>
  <c r="AD35" i="17" s="1"/>
  <c r="Q35" i="17"/>
  <c r="AI34" i="17"/>
  <c r="AH34" i="17"/>
  <c r="AG34" i="17"/>
  <c r="AF34" i="17"/>
  <c r="AE34" i="17"/>
  <c r="AD34" i="17"/>
  <c r="AC34" i="17"/>
  <c r="AB34" i="17"/>
  <c r="X34" i="17"/>
  <c r="O34" i="17"/>
  <c r="AA34" i="17" s="1"/>
  <c r="N34" i="17"/>
  <c r="Z34" i="17" s="1"/>
  <c r="M34" i="17"/>
  <c r="Y34" i="17" s="1"/>
  <c r="AI33" i="17"/>
  <c r="AH33" i="17"/>
  <c r="AG33" i="17"/>
  <c r="AF33" i="17"/>
  <c r="AE33" i="17"/>
  <c r="AD33" i="17"/>
  <c r="AC33" i="17"/>
  <c r="AB33" i="17"/>
  <c r="X33" i="17"/>
  <c r="O33" i="17"/>
  <c r="AA33" i="17" s="1"/>
  <c r="N33" i="17"/>
  <c r="Z33" i="17" s="1"/>
  <c r="M33" i="17"/>
  <c r="Y33" i="17" s="1"/>
  <c r="AI32" i="17"/>
  <c r="AH32" i="17"/>
  <c r="AG32" i="17"/>
  <c r="AF32" i="17"/>
  <c r="AE32" i="17"/>
  <c r="AD32" i="17"/>
  <c r="AC32" i="17"/>
  <c r="AB32" i="17"/>
  <c r="X32" i="17"/>
  <c r="O32" i="17"/>
  <c r="AA32" i="17" s="1"/>
  <c r="N32" i="17"/>
  <c r="Z32" i="17" s="1"/>
  <c r="M32" i="17"/>
  <c r="Y32" i="17" s="1"/>
  <c r="AI31" i="17"/>
  <c r="AH31" i="17"/>
  <c r="AG31" i="17"/>
  <c r="AF31" i="17"/>
  <c r="AE31" i="17"/>
  <c r="AD31" i="17"/>
  <c r="AC31" i="17"/>
  <c r="AB31" i="17"/>
  <c r="X31" i="17"/>
  <c r="O31" i="17"/>
  <c r="AA31" i="17" s="1"/>
  <c r="N31" i="17"/>
  <c r="Z31" i="17" s="1"/>
  <c r="M31" i="17"/>
  <c r="Y31" i="17" s="1"/>
  <c r="AI30" i="17"/>
  <c r="AH30" i="17"/>
  <c r="AG30" i="17"/>
  <c r="AF30" i="17"/>
  <c r="AE30" i="17"/>
  <c r="AD30" i="17"/>
  <c r="AC30" i="17"/>
  <c r="AB30" i="17"/>
  <c r="X30" i="17"/>
  <c r="O30" i="17"/>
  <c r="AA30" i="17" s="1"/>
  <c r="N30" i="17"/>
  <c r="Z30" i="17" s="1"/>
  <c r="M30" i="17"/>
  <c r="Y30" i="17" s="1"/>
  <c r="AI29" i="17"/>
  <c r="AH29" i="17"/>
  <c r="AG29" i="17"/>
  <c r="AF29" i="17"/>
  <c r="AE29" i="17"/>
  <c r="AD29" i="17"/>
  <c r="AC29" i="17"/>
  <c r="AB29" i="17"/>
  <c r="X29" i="17"/>
  <c r="O29" i="17"/>
  <c r="AA29" i="17" s="1"/>
  <c r="N29" i="17"/>
  <c r="Z29" i="17" s="1"/>
  <c r="M29" i="17"/>
  <c r="Y29" i="17" s="1"/>
  <c r="AI28" i="17"/>
  <c r="AH28" i="17"/>
  <c r="AG28" i="17"/>
  <c r="AF28" i="17"/>
  <c r="AE28" i="17"/>
  <c r="AD28" i="17"/>
  <c r="AC28" i="17"/>
  <c r="AB28" i="17"/>
  <c r="X28" i="17"/>
  <c r="O28" i="17"/>
  <c r="AA28" i="17" s="1"/>
  <c r="N28" i="17"/>
  <c r="Z28" i="17" s="1"/>
  <c r="M28" i="17"/>
  <c r="Y28" i="17" s="1"/>
  <c r="AF27" i="17"/>
  <c r="AB27" i="17"/>
  <c r="AA27" i="17"/>
  <c r="Z27" i="17"/>
  <c r="Y27" i="17"/>
  <c r="X27" i="17"/>
  <c r="W27" i="17"/>
  <c r="AI27" i="17" s="1"/>
  <c r="V27" i="17"/>
  <c r="AH27" i="17" s="1"/>
  <c r="U27" i="17"/>
  <c r="AG27" i="17" s="1"/>
  <c r="S27" i="17"/>
  <c r="AE27" i="17" s="1"/>
  <c r="R27" i="17"/>
  <c r="AD27" i="17" s="1"/>
  <c r="Q27" i="17"/>
  <c r="AC27" i="17" s="1"/>
  <c r="AF26" i="17"/>
  <c r="AB26" i="17"/>
  <c r="AA26" i="17"/>
  <c r="Z26" i="17"/>
  <c r="Y26" i="17"/>
  <c r="X26" i="17"/>
  <c r="W26" i="17"/>
  <c r="AI26" i="17" s="1"/>
  <c r="V26" i="17"/>
  <c r="AH26" i="17" s="1"/>
  <c r="U26" i="17"/>
  <c r="AG26" i="17" s="1"/>
  <c r="S26" i="17"/>
  <c r="R26" i="17"/>
  <c r="AD26" i="17" s="1"/>
  <c r="Q26" i="17"/>
  <c r="AC26" i="17" s="1"/>
  <c r="AF25" i="17"/>
  <c r="AB25" i="17"/>
  <c r="AA25" i="17"/>
  <c r="Z25" i="17"/>
  <c r="Y25" i="17"/>
  <c r="X25" i="17"/>
  <c r="W25" i="17"/>
  <c r="W53" i="17" s="1"/>
  <c r="AI53" i="17" s="1"/>
  <c r="V25" i="17"/>
  <c r="AH25" i="17" s="1"/>
  <c r="U25" i="17"/>
  <c r="AG25" i="17" s="1"/>
  <c r="S25" i="17"/>
  <c r="AE25" i="17" s="1"/>
  <c r="R25" i="17"/>
  <c r="AD25" i="17" s="1"/>
  <c r="Q25" i="17"/>
  <c r="AC25" i="17" s="1"/>
  <c r="AF24" i="17"/>
  <c r="AB24" i="17"/>
  <c r="AA24" i="17"/>
  <c r="Z24" i="17"/>
  <c r="Y24" i="17"/>
  <c r="X24" i="17"/>
  <c r="W24" i="17"/>
  <c r="AI24" i="17" s="1"/>
  <c r="V24" i="17"/>
  <c r="AH24" i="17" s="1"/>
  <c r="U24" i="17"/>
  <c r="AG24" i="17" s="1"/>
  <c r="S24" i="17"/>
  <c r="AE24" i="17" s="1"/>
  <c r="R24" i="17"/>
  <c r="AD24" i="17" s="1"/>
  <c r="Q24" i="17"/>
  <c r="Q52" i="17" s="1"/>
  <c r="AC52" i="17" s="1"/>
  <c r="AF23" i="17"/>
  <c r="AB23" i="17"/>
  <c r="AA23" i="17"/>
  <c r="Z23" i="17"/>
  <c r="Y23" i="17"/>
  <c r="X23" i="17"/>
  <c r="W23" i="17"/>
  <c r="AI23" i="17" s="1"/>
  <c r="V23" i="17"/>
  <c r="AH23" i="17" s="1"/>
  <c r="U23" i="17"/>
  <c r="S23" i="17"/>
  <c r="AE23" i="17" s="1"/>
  <c r="R23" i="17"/>
  <c r="AD23" i="17" s="1"/>
  <c r="Q23" i="17"/>
  <c r="AC23" i="17" s="1"/>
  <c r="AF22" i="17"/>
  <c r="AB22" i="17"/>
  <c r="AA22" i="17"/>
  <c r="Z22" i="17"/>
  <c r="Y22" i="17"/>
  <c r="X22" i="17"/>
  <c r="W22" i="17"/>
  <c r="AI22" i="17" s="1"/>
  <c r="V22" i="17"/>
  <c r="AH22" i="17" s="1"/>
  <c r="U22" i="17"/>
  <c r="AG22" i="17" s="1"/>
  <c r="S22" i="17"/>
  <c r="AE22" i="17" s="1"/>
  <c r="R22" i="17"/>
  <c r="AD22" i="17" s="1"/>
  <c r="Q22" i="17"/>
  <c r="AC22" i="17" s="1"/>
  <c r="AF21" i="17"/>
  <c r="AB21" i="17"/>
  <c r="AA21" i="17"/>
  <c r="Z21" i="17"/>
  <c r="Y21" i="17"/>
  <c r="X21" i="17"/>
  <c r="W21" i="17"/>
  <c r="AI21" i="17" s="1"/>
  <c r="V21" i="17"/>
  <c r="AH21" i="17" s="1"/>
  <c r="U21" i="17"/>
  <c r="AG21" i="17" s="1"/>
  <c r="S21" i="17"/>
  <c r="AE21" i="17" s="1"/>
  <c r="R21" i="17"/>
  <c r="Q21" i="17"/>
  <c r="AC21" i="17" s="1"/>
  <c r="AI20" i="17"/>
  <c r="AH20" i="17"/>
  <c r="AG20" i="17"/>
  <c r="AF20" i="17"/>
  <c r="AE20" i="17"/>
  <c r="AD20" i="17"/>
  <c r="AC20" i="17"/>
  <c r="AB20" i="17"/>
  <c r="X20" i="17"/>
  <c r="O20" i="17"/>
  <c r="AA20" i="17" s="1"/>
  <c r="N20" i="17"/>
  <c r="Z20" i="17" s="1"/>
  <c r="M20" i="17"/>
  <c r="Y20" i="17" s="1"/>
  <c r="AI19" i="17"/>
  <c r="AH19" i="17"/>
  <c r="AG19" i="17"/>
  <c r="AF19" i="17"/>
  <c r="AE19" i="17"/>
  <c r="AD19" i="17"/>
  <c r="AC19" i="17"/>
  <c r="AB19" i="17"/>
  <c r="X19" i="17"/>
  <c r="O19" i="17"/>
  <c r="AA19" i="17" s="1"/>
  <c r="N19" i="17"/>
  <c r="Z19" i="17" s="1"/>
  <c r="M19" i="17"/>
  <c r="Y19" i="17" s="1"/>
  <c r="AI18" i="17"/>
  <c r="AH18" i="17"/>
  <c r="AG18" i="17"/>
  <c r="AF18" i="17"/>
  <c r="AE18" i="17"/>
  <c r="AD18" i="17"/>
  <c r="AC18" i="17"/>
  <c r="AB18" i="17"/>
  <c r="X18" i="17"/>
  <c r="O18" i="17"/>
  <c r="AA18" i="17" s="1"/>
  <c r="N18" i="17"/>
  <c r="Z18" i="17" s="1"/>
  <c r="M18" i="17"/>
  <c r="Y18" i="17" s="1"/>
  <c r="AI17" i="17"/>
  <c r="AH17" i="17"/>
  <c r="AG17" i="17"/>
  <c r="AF17" i="17"/>
  <c r="AE17" i="17"/>
  <c r="AD17" i="17"/>
  <c r="AC17" i="17"/>
  <c r="AB17" i="17"/>
  <c r="X17" i="17"/>
  <c r="O17" i="17"/>
  <c r="AA17" i="17" s="1"/>
  <c r="N17" i="17"/>
  <c r="Z17" i="17" s="1"/>
  <c r="M17" i="17"/>
  <c r="Y17" i="17" s="1"/>
  <c r="AI16" i="17"/>
  <c r="AH16" i="17"/>
  <c r="AG16" i="17"/>
  <c r="AF16" i="17"/>
  <c r="AE16" i="17"/>
  <c r="AD16" i="17"/>
  <c r="AC16" i="17"/>
  <c r="AB16" i="17"/>
  <c r="X16" i="17"/>
  <c r="O16" i="17"/>
  <c r="AA16" i="17" s="1"/>
  <c r="N16" i="17"/>
  <c r="Z16" i="17" s="1"/>
  <c r="M16" i="17"/>
  <c r="Y16" i="17" s="1"/>
  <c r="AI15" i="17"/>
  <c r="AH15" i="17"/>
  <c r="AG15" i="17"/>
  <c r="AF15" i="17"/>
  <c r="AE15" i="17"/>
  <c r="AD15" i="17"/>
  <c r="AC15" i="17"/>
  <c r="AB15" i="17"/>
  <c r="X15" i="17"/>
  <c r="O15" i="17"/>
  <c r="AA15" i="17" s="1"/>
  <c r="N15" i="17"/>
  <c r="Z15" i="17" s="1"/>
  <c r="M15" i="17"/>
  <c r="Y15" i="17" s="1"/>
  <c r="AI14" i="17"/>
  <c r="AH14" i="17"/>
  <c r="AG14" i="17"/>
  <c r="AF14" i="17"/>
  <c r="AE14" i="17"/>
  <c r="AD14" i="17"/>
  <c r="AC14" i="17"/>
  <c r="AB14" i="17"/>
  <c r="X14" i="17"/>
  <c r="O14" i="17"/>
  <c r="AA14" i="17" s="1"/>
  <c r="N14" i="17"/>
  <c r="Z14" i="17" s="1"/>
  <c r="M14" i="17"/>
  <c r="Y14" i="17" s="1"/>
  <c r="AI13" i="17"/>
  <c r="AH13" i="17"/>
  <c r="AG13" i="17"/>
  <c r="AF13" i="17"/>
  <c r="AE13" i="17"/>
  <c r="AD13" i="17"/>
  <c r="AC13" i="17"/>
  <c r="AB13" i="17"/>
  <c r="AA13" i="17"/>
  <c r="Z13" i="17"/>
  <c r="Y13" i="17"/>
  <c r="X13" i="17"/>
  <c r="AI12" i="17"/>
  <c r="AH12" i="17"/>
  <c r="AG12" i="17"/>
  <c r="AF12" i="17"/>
  <c r="AE12" i="17"/>
  <c r="AD12" i="17"/>
  <c r="AC12" i="17"/>
  <c r="AB12" i="17"/>
  <c r="AA12" i="17"/>
  <c r="Z12" i="17"/>
  <c r="Y12" i="17"/>
  <c r="X12" i="17"/>
  <c r="AI11" i="17"/>
  <c r="AH11" i="17"/>
  <c r="AG11" i="17"/>
  <c r="AF11" i="17"/>
  <c r="AE11" i="17"/>
  <c r="AD11" i="17"/>
  <c r="AC11" i="17"/>
  <c r="AB11" i="17"/>
  <c r="AA11" i="17"/>
  <c r="Z11" i="17"/>
  <c r="Y11" i="17"/>
  <c r="X11" i="17"/>
  <c r="AI10" i="17"/>
  <c r="AH10" i="17"/>
  <c r="AG10" i="17"/>
  <c r="AF10" i="17"/>
  <c r="AE10" i="17"/>
  <c r="AD10" i="17"/>
  <c r="AC10" i="17"/>
  <c r="AB10" i="17"/>
  <c r="AA10" i="17"/>
  <c r="Z10" i="17"/>
  <c r="Y10" i="17"/>
  <c r="X10" i="17"/>
  <c r="AI9" i="17"/>
  <c r="AH9" i="17"/>
  <c r="AG9" i="17"/>
  <c r="AF9" i="17"/>
  <c r="AE9" i="17"/>
  <c r="AD9" i="17"/>
  <c r="AC9" i="17"/>
  <c r="AB9" i="17"/>
  <c r="AA9" i="17"/>
  <c r="Z9" i="17"/>
  <c r="Y9" i="17"/>
  <c r="X9" i="17"/>
  <c r="AI8" i="17"/>
  <c r="AH8" i="17"/>
  <c r="AG8" i="17"/>
  <c r="AF8" i="17"/>
  <c r="AE8" i="17"/>
  <c r="AD8" i="17"/>
  <c r="AC8" i="17"/>
  <c r="AB8" i="17"/>
  <c r="AA8" i="17"/>
  <c r="Z8" i="17"/>
  <c r="Y8" i="17"/>
  <c r="X8" i="17"/>
  <c r="AI7" i="17"/>
  <c r="AH7" i="17"/>
  <c r="AG7" i="17"/>
  <c r="AF7" i="17"/>
  <c r="AE7" i="17"/>
  <c r="AD7" i="17"/>
  <c r="AC7" i="17"/>
  <c r="AB7" i="17"/>
  <c r="AA7" i="17"/>
  <c r="Z7" i="17"/>
  <c r="Y7" i="17"/>
  <c r="X7" i="17"/>
  <c r="S54" i="17" l="1"/>
  <c r="AE54" i="17" s="1"/>
  <c r="R49" i="17"/>
  <c r="AD49" i="17" s="1"/>
  <c r="U51" i="17"/>
  <c r="AG51" i="17" s="1"/>
  <c r="V51" i="17"/>
  <c r="AH51" i="17" s="1"/>
  <c r="U50" i="17"/>
  <c r="AG50" i="17" s="1"/>
  <c r="V55" i="17"/>
  <c r="AH55" i="17" s="1"/>
  <c r="S52" i="17"/>
  <c r="AE52" i="17" s="1"/>
  <c r="W54" i="17"/>
  <c r="AI54" i="17" s="1"/>
  <c r="V53" i="17"/>
  <c r="AH53" i="17" s="1"/>
  <c r="Q50" i="17"/>
  <c r="AC50" i="17" s="1"/>
  <c r="AE38" i="17"/>
  <c r="V50" i="17"/>
  <c r="AH50" i="17" s="1"/>
  <c r="W52" i="17"/>
  <c r="AI52" i="17" s="1"/>
  <c r="W55" i="17"/>
  <c r="AI55" i="17" s="1"/>
  <c r="V49" i="17"/>
  <c r="AH49" i="17" s="1"/>
  <c r="W50" i="17"/>
  <c r="AI50" i="17" s="1"/>
  <c r="AH37" i="17"/>
  <c r="AI40" i="17"/>
  <c r="Q54" i="17"/>
  <c r="AC54" i="17" s="1"/>
  <c r="Q51" i="17"/>
  <c r="AC51" i="17" s="1"/>
  <c r="Q53" i="17"/>
  <c r="AC53" i="17" s="1"/>
  <c r="R54" i="17"/>
  <c r="AD54" i="17" s="1"/>
  <c r="U49" i="17"/>
  <c r="AG49" i="17" s="1"/>
  <c r="W51" i="17"/>
  <c r="AI51" i="17" s="1"/>
  <c r="AG23" i="17"/>
  <c r="AI25" i="17"/>
  <c r="R51" i="17"/>
  <c r="AD51" i="17" s="1"/>
  <c r="Q49" i="17"/>
  <c r="AC49" i="17" s="1"/>
  <c r="R50" i="17"/>
  <c r="AD50" i="17" s="1"/>
  <c r="S51" i="17"/>
  <c r="AE51" i="17" s="1"/>
  <c r="S53" i="17"/>
  <c r="AE53" i="17" s="1"/>
  <c r="AC40" i="17"/>
  <c r="S55" i="17"/>
  <c r="AE55" i="17" s="1"/>
  <c r="U52" i="17"/>
  <c r="AG52" i="17" s="1"/>
  <c r="U53" i="17"/>
  <c r="AG53" i="17" s="1"/>
  <c r="B65" i="17"/>
  <c r="AD21" i="17"/>
  <c r="AC24" i="17"/>
  <c r="AE26" i="17"/>
  <c r="AD36" i="17"/>
  <c r="AC39" i="17"/>
  <c r="AE41" i="17"/>
  <c r="S49" i="17"/>
  <c r="AE49" i="17" s="1"/>
  <c r="R52" i="17"/>
  <c r="AD52" i="17" s="1"/>
  <c r="U54" i="17"/>
  <c r="AG54" i="17" s="1"/>
  <c r="Q55" i="17"/>
  <c r="AC55" i="17" s="1"/>
  <c r="V54" i="17"/>
  <c r="AH54" i="17" s="1"/>
  <c r="R55" i="17"/>
  <c r="AD55" i="17" s="1"/>
  <c r="AC37" i="17"/>
  <c r="AE39" i="17"/>
  <c r="AG36" i="17"/>
  <c r="AI38" i="17"/>
  <c r="AH41" i="17"/>
  <c r="W49" i="17"/>
  <c r="AI49" i="17" s="1"/>
  <c r="S50" i="17"/>
  <c r="AE50" i="17" s="1"/>
  <c r="V52" i="17"/>
  <c r="AH52" i="17" s="1"/>
  <c r="R53" i="17"/>
  <c r="AD53" i="17" s="1"/>
  <c r="U55" i="17"/>
  <c r="AG55" i="17" s="1"/>
  <c r="AC35" i="17"/>
  <c r="AH36" i="17"/>
  <c r="AE37" i="17"/>
  <c r="AG39" i="17"/>
  <c r="AD40" i="17"/>
  <c r="AI41" i="17"/>
  <c r="AI36" i="17"/>
  <c r="AH39" i="17"/>
  <c r="F65" i="17" l="1"/>
  <c r="G67" i="17" s="1"/>
  <c r="M67" i="17" l="1"/>
  <c r="A62" i="22" s="1"/>
  <c r="C163" i="17" l="1"/>
  <c r="C164" i="17"/>
  <c r="A61" i="22" l="1"/>
</calcChain>
</file>

<file path=xl/sharedStrings.xml><?xml version="1.0" encoding="utf-8"?>
<sst xmlns="http://schemas.openxmlformats.org/spreadsheetml/2006/main" count="1257" uniqueCount="365">
  <si>
    <t>　　　　　　　　　　　　　　　 　　　　　氏 名               　　　　 　印</t>
    <rPh sb="21" eb="22">
      <t>フリ</t>
    </rPh>
    <rPh sb="23" eb="24">
      <t>ガナ</t>
    </rPh>
    <phoneticPr fontId="4" alignment="distributed"/>
  </si>
  <si>
    <t xml:space="preserve">                       　　      </t>
    <phoneticPr fontId="3"/>
  </si>
  <si>
    <t>申請者</t>
    <rPh sb="0" eb="3">
      <t>シンセイシャ</t>
    </rPh>
    <phoneticPr fontId="3"/>
  </si>
  <si>
    <t>記</t>
    <phoneticPr fontId="3"/>
  </si>
  <si>
    <t>所在地</t>
    <rPh sb="0" eb="3">
      <t>ショザイチ</t>
    </rPh>
    <phoneticPr fontId="3"/>
  </si>
  <si>
    <t>第１号様式</t>
    <phoneticPr fontId="3"/>
  </si>
  <si>
    <t>建築時期</t>
    <rPh sb="0" eb="2">
      <t>ケンチク</t>
    </rPh>
    <rPh sb="2" eb="4">
      <t>ジキ</t>
    </rPh>
    <phoneticPr fontId="3"/>
  </si>
  <si>
    <t>年頃</t>
    <rPh sb="0" eb="1">
      <t>ネン</t>
    </rPh>
    <rPh sb="1" eb="2">
      <t>コロ</t>
    </rPh>
    <phoneticPr fontId="3"/>
  </si>
  <si>
    <t>構造</t>
    <rPh sb="0" eb="2">
      <t>コウゾウ</t>
    </rPh>
    <phoneticPr fontId="3"/>
  </si>
  <si>
    <t>造</t>
    <rPh sb="0" eb="1">
      <t>ゾウ</t>
    </rPh>
    <phoneticPr fontId="3"/>
  </si>
  <si>
    <t>階数</t>
    <rPh sb="0" eb="2">
      <t>カイスウ</t>
    </rPh>
    <phoneticPr fontId="3"/>
  </si>
  <si>
    <t>延べ面積</t>
    <rPh sb="0" eb="1">
      <t>ノ</t>
    </rPh>
    <rPh sb="2" eb="4">
      <t>メンセキ</t>
    </rPh>
    <phoneticPr fontId="3"/>
  </si>
  <si>
    <t>㎡</t>
    <phoneticPr fontId="3"/>
  </si>
  <si>
    <t>〒</t>
    <phoneticPr fontId="3"/>
  </si>
  <si>
    <t>地域区分</t>
    <rPh sb="0" eb="2">
      <t>チイキ</t>
    </rPh>
    <rPh sb="2" eb="4">
      <t>クブン</t>
    </rPh>
    <phoneticPr fontId="3"/>
  </si>
  <si>
    <t>担当者名</t>
    <rPh sb="0" eb="2">
      <t>タントウ</t>
    </rPh>
    <rPh sb="2" eb="3">
      <t>シャ</t>
    </rPh>
    <rPh sb="3" eb="4">
      <t>メイ</t>
    </rPh>
    <phoneticPr fontId="3"/>
  </si>
  <si>
    <t>電話番号</t>
    <rPh sb="0" eb="2">
      <t>デンワ</t>
    </rPh>
    <rPh sb="2" eb="4">
      <t>バンゴウ</t>
    </rPh>
    <phoneticPr fontId="3"/>
  </si>
  <si>
    <t>メールアドレス</t>
    <phoneticPr fontId="3"/>
  </si>
  <si>
    <t>工事着手予定日</t>
    <rPh sb="0" eb="2">
      <t>コウジ</t>
    </rPh>
    <rPh sb="2" eb="4">
      <t>チャクシュ</t>
    </rPh>
    <phoneticPr fontId="3"/>
  </si>
  <si>
    <t>工事完了予定日</t>
    <rPh sb="0" eb="2">
      <t>コウジ</t>
    </rPh>
    <rPh sb="2" eb="4">
      <t>カンリョウ</t>
    </rPh>
    <rPh sb="4" eb="7">
      <t>ヨテイビ</t>
    </rPh>
    <phoneticPr fontId="3"/>
  </si>
  <si>
    <t>住所</t>
    <rPh sb="0" eb="2">
      <t>ジュウショ</t>
    </rPh>
    <phoneticPr fontId="3"/>
  </si>
  <si>
    <t>事業社名</t>
    <rPh sb="0" eb="2">
      <t>ジギョウ</t>
    </rPh>
    <rPh sb="2" eb="4">
      <t>シャメイ</t>
    </rPh>
    <rPh sb="3" eb="4">
      <t>メイ</t>
    </rPh>
    <phoneticPr fontId="3"/>
  </si>
  <si>
    <t>窓</t>
    <rPh sb="0" eb="1">
      <t>マド</t>
    </rPh>
    <phoneticPr fontId="3"/>
  </si>
  <si>
    <t>箇所</t>
    <rPh sb="0" eb="2">
      <t>カショ</t>
    </rPh>
    <phoneticPr fontId="3"/>
  </si>
  <si>
    <t>×</t>
    <phoneticPr fontId="3"/>
  </si>
  <si>
    <t>LDK</t>
    <phoneticPr fontId="3"/>
  </si>
  <si>
    <t>天井</t>
    <rPh sb="0" eb="2">
      <t>テンジョウ</t>
    </rPh>
    <phoneticPr fontId="3"/>
  </si>
  <si>
    <t>床</t>
    <rPh sb="0" eb="1">
      <t>ユカ</t>
    </rPh>
    <phoneticPr fontId="3"/>
  </si>
  <si>
    <t>○</t>
  </si>
  <si>
    <t>○</t>
    <phoneticPr fontId="3"/>
  </si>
  <si>
    <t>＋1室</t>
    <rPh sb="2" eb="3">
      <t>シツ</t>
    </rPh>
    <phoneticPr fontId="3"/>
  </si>
  <si>
    <t>天井</t>
    <rPh sb="0" eb="1">
      <t>テンジョウ</t>
    </rPh>
    <phoneticPr fontId="3"/>
  </si>
  <si>
    <t>＋2室</t>
    <rPh sb="2" eb="3">
      <t>シツ</t>
    </rPh>
    <phoneticPr fontId="3"/>
  </si>
  <si>
    <t>＋3室</t>
    <rPh sb="2" eb="3">
      <t>シツ</t>
    </rPh>
    <phoneticPr fontId="3"/>
  </si>
  <si>
    <t>築36年以上</t>
    <rPh sb="0" eb="1">
      <t>チク</t>
    </rPh>
    <rPh sb="3" eb="4">
      <t>ネン</t>
    </rPh>
    <rPh sb="4" eb="6">
      <t>イジョウ</t>
    </rPh>
    <phoneticPr fontId="3"/>
  </si>
  <si>
    <t>築26年以上36年未満</t>
    <rPh sb="2" eb="3">
      <t>ネン</t>
    </rPh>
    <rPh sb="3" eb="5">
      <t>イジョウ</t>
    </rPh>
    <rPh sb="7" eb="8">
      <t>ネン</t>
    </rPh>
    <rPh sb="8" eb="10">
      <t>ミマン</t>
    </rPh>
    <phoneticPr fontId="3"/>
  </si>
  <si>
    <t>築26年未満</t>
    <rPh sb="2" eb="3">
      <t>ネン</t>
    </rPh>
    <rPh sb="3" eb="5">
      <t>ミマン</t>
    </rPh>
    <phoneticPr fontId="3"/>
  </si>
  <si>
    <t>3地域</t>
    <rPh sb="1" eb="3">
      <t>チイキ</t>
    </rPh>
    <phoneticPr fontId="3"/>
  </si>
  <si>
    <t>4地域</t>
    <rPh sb="1" eb="3">
      <t>チイキ</t>
    </rPh>
    <phoneticPr fontId="3"/>
  </si>
  <si>
    <t>5地域</t>
    <rPh sb="1" eb="3">
      <t>チイキ</t>
    </rPh>
    <phoneticPr fontId="3"/>
  </si>
  <si>
    <t>築26年以上築36年未満</t>
    <rPh sb="0" eb="1">
      <t>チク</t>
    </rPh>
    <rPh sb="3" eb="4">
      <t>ネン</t>
    </rPh>
    <rPh sb="4" eb="6">
      <t>イジョウ</t>
    </rPh>
    <rPh sb="6" eb="7">
      <t>チク</t>
    </rPh>
    <rPh sb="9" eb="10">
      <t>ネン</t>
    </rPh>
    <rPh sb="10" eb="12">
      <t>ミマン</t>
    </rPh>
    <phoneticPr fontId="3"/>
  </si>
  <si>
    <t>築26年未満</t>
    <rPh sb="0" eb="1">
      <t>チク</t>
    </rPh>
    <rPh sb="3" eb="4">
      <t>ネン</t>
    </rPh>
    <rPh sb="4" eb="6">
      <t>ミマン</t>
    </rPh>
    <phoneticPr fontId="3"/>
  </si>
  <si>
    <t>第１－１号様式</t>
    <rPh sb="0" eb="1">
      <t>ダイ</t>
    </rPh>
    <rPh sb="4" eb="5">
      <t>ゴウ</t>
    </rPh>
    <rPh sb="5" eb="7">
      <t>ヨウシキ</t>
    </rPh>
    <phoneticPr fontId="3"/>
  </si>
  <si>
    <t>改修後暖房負荷削減量</t>
    <rPh sb="0" eb="2">
      <t>カイシュウ</t>
    </rPh>
    <rPh sb="2" eb="3">
      <t>ウシ</t>
    </rPh>
    <rPh sb="3" eb="5">
      <t>ダンボウ</t>
    </rPh>
    <rPh sb="5" eb="7">
      <t>フカ</t>
    </rPh>
    <rPh sb="7" eb="10">
      <t>サクゲンリョウ</t>
    </rPh>
    <phoneticPr fontId="3"/>
  </si>
  <si>
    <t>改修後暖房負荷削減量（MJ/年・㎡）</t>
    <phoneticPr fontId="3"/>
  </si>
  <si>
    <t>１２０㎡当たりの改修後暖房負荷削減量（MJ/年）</t>
    <rPh sb="4" eb="5">
      <t>ア</t>
    </rPh>
    <phoneticPr fontId="3"/>
  </si>
  <si>
    <t>①居間、台所及び食堂</t>
    <rPh sb="1" eb="3">
      <t>イマ</t>
    </rPh>
    <rPh sb="4" eb="6">
      <t>ダイドコロ</t>
    </rPh>
    <rPh sb="6" eb="7">
      <t>オヨ</t>
    </rPh>
    <rPh sb="8" eb="10">
      <t>ショクドウ</t>
    </rPh>
    <phoneticPr fontId="3"/>
  </si>
  <si>
    <t>②脱衣所</t>
    <rPh sb="1" eb="4">
      <t>ダツイジョ</t>
    </rPh>
    <phoneticPr fontId="3"/>
  </si>
  <si>
    <t>暖房負荷削減量計算</t>
    <rPh sb="0" eb="2">
      <t>ダンボウ</t>
    </rPh>
    <rPh sb="2" eb="4">
      <t>フカ</t>
    </rPh>
    <rPh sb="4" eb="6">
      <t>サクゲン</t>
    </rPh>
    <rPh sb="6" eb="7">
      <t>リョウ</t>
    </rPh>
    <rPh sb="7" eb="9">
      <t>ケイサン</t>
    </rPh>
    <phoneticPr fontId="3"/>
  </si>
  <si>
    <t>ガラス交換</t>
    <rPh sb="3" eb="5">
      <t>コウカン</t>
    </rPh>
    <phoneticPr fontId="3"/>
  </si>
  <si>
    <t>=</t>
    <phoneticPr fontId="3"/>
  </si>
  <si>
    <t>壁</t>
    <rPh sb="0" eb="1">
      <t>カベ</t>
    </rPh>
    <phoneticPr fontId="3"/>
  </si>
  <si>
    <t>福島県省エネルギー住宅改修補助事業　補助金交付申請書</t>
    <rPh sb="3" eb="4">
      <t>ショウ</t>
    </rPh>
    <rPh sb="9" eb="11">
      <t>ジュウタク</t>
    </rPh>
    <rPh sb="11" eb="13">
      <t>カイシュウ</t>
    </rPh>
    <rPh sb="13" eb="15">
      <t>ホジョ</t>
    </rPh>
    <rPh sb="15" eb="17">
      <t>ジギョウ</t>
    </rPh>
    <phoneticPr fontId="3"/>
  </si>
  <si>
    <t>その他室　</t>
    <rPh sb="2" eb="3">
      <t>タ</t>
    </rPh>
    <phoneticPr fontId="3"/>
  </si>
  <si>
    <t>２　工事施工者</t>
    <rPh sb="2" eb="4">
      <t>コウジ</t>
    </rPh>
    <rPh sb="4" eb="7">
      <t>セコウシャ</t>
    </rPh>
    <phoneticPr fontId="3"/>
  </si>
  <si>
    <t>本申請書の記載内容に虚偽はありません。</t>
    <rPh sb="0" eb="1">
      <t>ホン</t>
    </rPh>
    <rPh sb="1" eb="4">
      <t>シンセイショ</t>
    </rPh>
    <rPh sb="5" eb="7">
      <t>キサイ</t>
    </rPh>
    <rPh sb="7" eb="9">
      <t>ナイヨウ</t>
    </rPh>
    <rPh sb="10" eb="12">
      <t>キョギ</t>
    </rPh>
    <phoneticPr fontId="3"/>
  </si>
  <si>
    <t>1室</t>
    <rPh sb="1" eb="2">
      <t>シツ</t>
    </rPh>
    <phoneticPr fontId="3"/>
  </si>
  <si>
    <t>2室</t>
    <rPh sb="1" eb="2">
      <t>シツ</t>
    </rPh>
    <phoneticPr fontId="3"/>
  </si>
  <si>
    <t>3室</t>
    <rPh sb="1" eb="2">
      <t>シツ</t>
    </rPh>
    <phoneticPr fontId="3"/>
  </si>
  <si>
    <t>4室</t>
    <rPh sb="1" eb="2">
      <t>シツ</t>
    </rPh>
    <phoneticPr fontId="3"/>
  </si>
  <si>
    <t>5室</t>
    <rPh sb="1" eb="2">
      <t>シツ</t>
    </rPh>
    <phoneticPr fontId="3"/>
  </si>
  <si>
    <t>6室</t>
    <rPh sb="1" eb="2">
      <t>シツ</t>
    </rPh>
    <phoneticPr fontId="3"/>
  </si>
  <si>
    <t>居間</t>
    <rPh sb="0" eb="2">
      <t>イマ</t>
    </rPh>
    <phoneticPr fontId="3"/>
  </si>
  <si>
    <t>台所</t>
    <rPh sb="0" eb="2">
      <t>ダイドコロ</t>
    </rPh>
    <phoneticPr fontId="3"/>
  </si>
  <si>
    <t>食堂</t>
    <rPh sb="0" eb="2">
      <t>ショクドウ</t>
    </rPh>
    <phoneticPr fontId="3"/>
  </si>
  <si>
    <t>脱衣所</t>
    <rPh sb="0" eb="3">
      <t>ダツイジョ</t>
    </rPh>
    <phoneticPr fontId="3"/>
  </si>
  <si>
    <t>改修部位</t>
    <rPh sb="0" eb="2">
      <t>カイシュウ</t>
    </rPh>
    <rPh sb="2" eb="4">
      <t>ブイ</t>
    </rPh>
    <phoneticPr fontId="3"/>
  </si>
  <si>
    <t>居間</t>
    <rPh sb="0" eb="1">
      <t>イマ</t>
    </rPh>
    <phoneticPr fontId="3"/>
  </si>
  <si>
    <t>台所</t>
    <rPh sb="0" eb="1">
      <t>ダイドコロ</t>
    </rPh>
    <phoneticPr fontId="3"/>
  </si>
  <si>
    <t>食堂</t>
    <rPh sb="0" eb="1">
      <t>ショクドウ</t>
    </rPh>
    <phoneticPr fontId="3"/>
  </si>
  <si>
    <t>脱衣所</t>
    <rPh sb="0" eb="2">
      <t>ダツイジョ</t>
    </rPh>
    <phoneticPr fontId="3"/>
  </si>
  <si>
    <t>7室</t>
    <rPh sb="1" eb="2">
      <t>シツ</t>
    </rPh>
    <phoneticPr fontId="3"/>
  </si>
  <si>
    <t>8室</t>
    <rPh sb="1" eb="2">
      <t>シツ</t>
    </rPh>
    <phoneticPr fontId="3"/>
  </si>
  <si>
    <t>改修後暖房負荷削減量（MJ/年）</t>
    <rPh sb="0" eb="2">
      <t>カイシュウ</t>
    </rPh>
    <rPh sb="2" eb="3">
      <t>ウシ</t>
    </rPh>
    <rPh sb="3" eb="5">
      <t>ダンボウ</t>
    </rPh>
    <rPh sb="5" eb="7">
      <t>フカ</t>
    </rPh>
    <rPh sb="7" eb="9">
      <t>サクゲン</t>
    </rPh>
    <rPh sb="9" eb="10">
      <t>リョウ</t>
    </rPh>
    <rPh sb="14" eb="15">
      <t>ネン</t>
    </rPh>
    <phoneticPr fontId="3"/>
  </si>
  <si>
    <t>年</t>
    <rPh sb="0" eb="1">
      <t>ネン</t>
    </rPh>
    <phoneticPr fontId="3"/>
  </si>
  <si>
    <t>令和</t>
    <rPh sb="0" eb="2">
      <t>レイワ</t>
    </rPh>
    <phoneticPr fontId="3"/>
  </si>
  <si>
    <t>2地域</t>
    <rPh sb="1" eb="3">
      <t>チイキ</t>
    </rPh>
    <phoneticPr fontId="3"/>
  </si>
  <si>
    <t>福島県暴力団排除条例に規定する暴力団員等又は社会的非難関係者に該当する者ではありません。</t>
    <rPh sb="0" eb="3">
      <t>フクシマケン</t>
    </rPh>
    <rPh sb="3" eb="6">
      <t>ボウリョクダン</t>
    </rPh>
    <rPh sb="6" eb="10">
      <t>ハイジョジョウレイ</t>
    </rPh>
    <rPh sb="11" eb="13">
      <t>キテイ</t>
    </rPh>
    <rPh sb="15" eb="20">
      <t>ボウリョクダンイントウ</t>
    </rPh>
    <rPh sb="20" eb="21">
      <t>マタ</t>
    </rPh>
    <rPh sb="22" eb="25">
      <t>シャカイテキ</t>
    </rPh>
    <rPh sb="25" eb="27">
      <t>ヒナン</t>
    </rPh>
    <rPh sb="27" eb="30">
      <t>カンケイシャ</t>
    </rPh>
    <rPh sb="31" eb="33">
      <t>ガイトウ</t>
    </rPh>
    <rPh sb="35" eb="36">
      <t>モノ</t>
    </rPh>
    <phoneticPr fontId="3"/>
  </si>
  <si>
    <t>　 福島県知事　様</t>
    <rPh sb="2" eb="5">
      <t>フクシマケン</t>
    </rPh>
    <rPh sb="5" eb="7">
      <t>チジ</t>
    </rPh>
    <rPh sb="8" eb="9">
      <t>サマ</t>
    </rPh>
    <phoneticPr fontId="3"/>
  </si>
  <si>
    <t>住宅の省エネ診断</t>
    <rPh sb="0" eb="2">
      <t>ジュウタク</t>
    </rPh>
    <rPh sb="3" eb="4">
      <t>ショウ</t>
    </rPh>
    <rPh sb="6" eb="8">
      <t>シンダン</t>
    </rPh>
    <phoneticPr fontId="3"/>
  </si>
  <si>
    <t>住宅の省エネ改修</t>
    <rPh sb="0" eb="2">
      <t>ジュウタク</t>
    </rPh>
    <rPh sb="3" eb="4">
      <t>ショウ</t>
    </rPh>
    <rPh sb="6" eb="8">
      <t>カイシュウ</t>
    </rPh>
    <phoneticPr fontId="3"/>
  </si>
  <si>
    <t>【適合させる省エネレベル】</t>
    <rPh sb="1" eb="3">
      <t>テキゴウ</t>
    </rPh>
    <rPh sb="6" eb="7">
      <t>ショウ</t>
    </rPh>
    <phoneticPr fontId="3"/>
  </si>
  <si>
    <t>【改修の範囲】</t>
    <rPh sb="1" eb="3">
      <t>カイシュウ</t>
    </rPh>
    <rPh sb="4" eb="6">
      <t>ハンイ</t>
    </rPh>
    <phoneticPr fontId="3"/>
  </si>
  <si>
    <t>全体改修（省エネ基準又はZEH水準に適合する旨のBELS等の認証の添付あり）</t>
    <rPh sb="0" eb="2">
      <t>ゼンタイ</t>
    </rPh>
    <rPh sb="2" eb="4">
      <t>カイシュウ</t>
    </rPh>
    <rPh sb="5" eb="6">
      <t>ショウ</t>
    </rPh>
    <rPh sb="8" eb="10">
      <t>キジュン</t>
    </rPh>
    <rPh sb="10" eb="11">
      <t>マタ</t>
    </rPh>
    <rPh sb="15" eb="17">
      <t>スイジュン</t>
    </rPh>
    <rPh sb="18" eb="20">
      <t>テキゴウ</t>
    </rPh>
    <rPh sb="22" eb="23">
      <t>ムネ</t>
    </rPh>
    <rPh sb="28" eb="29">
      <t>トウ</t>
    </rPh>
    <rPh sb="30" eb="32">
      <t>ニンショウ</t>
    </rPh>
    <rPh sb="33" eb="35">
      <t>テンプ</t>
    </rPh>
    <phoneticPr fontId="3"/>
  </si>
  <si>
    <t>部分改修（各建材・設備等が仕様規定に適合）</t>
    <rPh sb="0" eb="2">
      <t>ブブン</t>
    </rPh>
    <rPh sb="2" eb="4">
      <t>カイシュウ</t>
    </rPh>
    <rPh sb="5" eb="6">
      <t>カク</t>
    </rPh>
    <rPh sb="6" eb="8">
      <t>ケンザイ</t>
    </rPh>
    <rPh sb="9" eb="11">
      <t>セツビ</t>
    </rPh>
    <rPh sb="11" eb="12">
      <t>トウ</t>
    </rPh>
    <rPh sb="13" eb="15">
      <t>シヨウ</t>
    </rPh>
    <rPh sb="15" eb="17">
      <t>キテイ</t>
    </rPh>
    <rPh sb="18" eb="20">
      <t>テキゴウ</t>
    </rPh>
    <phoneticPr fontId="3"/>
  </si>
  <si>
    <t>補助対象工事</t>
    <rPh sb="0" eb="2">
      <t>ホジョ</t>
    </rPh>
    <rPh sb="2" eb="4">
      <t>タイショウ</t>
    </rPh>
    <rPh sb="4" eb="6">
      <t>コウジ</t>
    </rPh>
    <phoneticPr fontId="3"/>
  </si>
  <si>
    <t>ドア</t>
    <phoneticPr fontId="3"/>
  </si>
  <si>
    <t>数量</t>
    <rPh sb="0" eb="2">
      <t>スウリョウ</t>
    </rPh>
    <phoneticPr fontId="3"/>
  </si>
  <si>
    <t>実際の工事費</t>
    <rPh sb="0" eb="2">
      <t>ジッサイ</t>
    </rPh>
    <rPh sb="3" eb="6">
      <t>コウジヒ</t>
    </rPh>
    <phoneticPr fontId="3"/>
  </si>
  <si>
    <t>ドア交換</t>
    <rPh sb="2" eb="4">
      <t>コウカン</t>
    </rPh>
    <phoneticPr fontId="3"/>
  </si>
  <si>
    <t>大</t>
    <rPh sb="0" eb="1">
      <t>ダイ</t>
    </rPh>
    <phoneticPr fontId="3"/>
  </si>
  <si>
    <t>中</t>
    <rPh sb="0" eb="1">
      <t>チュウ</t>
    </rPh>
    <phoneticPr fontId="3"/>
  </si>
  <si>
    <t>小</t>
    <rPh sb="0" eb="1">
      <t>ショウ</t>
    </rPh>
    <phoneticPr fontId="3"/>
  </si>
  <si>
    <t>円／枚</t>
    <rPh sb="0" eb="1">
      <t>エン</t>
    </rPh>
    <rPh sb="2" eb="3">
      <t>マイ</t>
    </rPh>
    <phoneticPr fontId="3"/>
  </si>
  <si>
    <t>枚</t>
    <rPh sb="0" eb="1">
      <t>マイ</t>
    </rPh>
    <phoneticPr fontId="3"/>
  </si>
  <si>
    <t>外壁</t>
    <rPh sb="0" eb="2">
      <t>ガイヘキ</t>
    </rPh>
    <phoneticPr fontId="3"/>
  </si>
  <si>
    <t>屋根・天井</t>
    <rPh sb="0" eb="2">
      <t>ヤネ</t>
    </rPh>
    <rPh sb="3" eb="5">
      <t>テンジョウ</t>
    </rPh>
    <phoneticPr fontId="3"/>
  </si>
  <si>
    <t>A-C</t>
    <phoneticPr fontId="3"/>
  </si>
  <si>
    <t>D-F</t>
    <phoneticPr fontId="3"/>
  </si>
  <si>
    <t>円／箇所</t>
    <rPh sb="0" eb="1">
      <t>エン</t>
    </rPh>
    <rPh sb="2" eb="4">
      <t>カショ</t>
    </rPh>
    <phoneticPr fontId="3"/>
  </si>
  <si>
    <t>円</t>
    <rPh sb="0" eb="1">
      <t>エン</t>
    </rPh>
    <phoneticPr fontId="3"/>
  </si>
  <si>
    <t>太陽熱利用システム</t>
    <rPh sb="0" eb="3">
      <t>タイヨウネツ</t>
    </rPh>
    <rPh sb="3" eb="5">
      <t>リヨウ</t>
    </rPh>
    <phoneticPr fontId="3"/>
  </si>
  <si>
    <t>高断熱浴槽</t>
    <rPh sb="0" eb="3">
      <t>コウダンネツ</t>
    </rPh>
    <rPh sb="3" eb="5">
      <t>ヨクソウ</t>
    </rPh>
    <phoneticPr fontId="3"/>
  </si>
  <si>
    <t>高効率給湯機</t>
    <rPh sb="0" eb="3">
      <t>コウコウリツ</t>
    </rPh>
    <rPh sb="3" eb="6">
      <t>キュウトウキ</t>
    </rPh>
    <phoneticPr fontId="3"/>
  </si>
  <si>
    <t>節湯水栓</t>
    <rPh sb="0" eb="1">
      <t>セツ</t>
    </rPh>
    <rPh sb="1" eb="2">
      <t>トウ</t>
    </rPh>
    <rPh sb="2" eb="4">
      <t>スイセン</t>
    </rPh>
    <phoneticPr fontId="3"/>
  </si>
  <si>
    <t>円／戸</t>
    <rPh sb="0" eb="1">
      <t>エン</t>
    </rPh>
    <rPh sb="2" eb="3">
      <t>コ</t>
    </rPh>
    <phoneticPr fontId="3"/>
  </si>
  <si>
    <t>円／台</t>
    <rPh sb="0" eb="1">
      <t>エン</t>
    </rPh>
    <rPh sb="2" eb="3">
      <t>ダイ</t>
    </rPh>
    <phoneticPr fontId="3"/>
  </si>
  <si>
    <t>台</t>
    <rPh sb="0" eb="1">
      <t>ダイ</t>
    </rPh>
    <phoneticPr fontId="3"/>
  </si>
  <si>
    <t>式</t>
    <rPh sb="0" eb="1">
      <t>シキ</t>
    </rPh>
    <phoneticPr fontId="3"/>
  </si>
  <si>
    <t>－</t>
    <phoneticPr fontId="3"/>
  </si>
  <si>
    <t>Ｂ．設備改修工事等</t>
    <rPh sb="2" eb="4">
      <t>セツビ</t>
    </rPh>
    <rPh sb="4" eb="6">
      <t>カイシュウ</t>
    </rPh>
    <rPh sb="6" eb="8">
      <t>コウジ</t>
    </rPh>
    <rPh sb="8" eb="9">
      <t>トウ</t>
    </rPh>
    <phoneticPr fontId="3"/>
  </si>
  <si>
    <t>項目</t>
    <rPh sb="0" eb="2">
      <t>コウモク</t>
    </rPh>
    <phoneticPr fontId="3"/>
  </si>
  <si>
    <t>費用</t>
    <rPh sb="0" eb="2">
      <t>ヒヨウ</t>
    </rPh>
    <phoneticPr fontId="3"/>
  </si>
  <si>
    <t>戸</t>
    <rPh sb="0" eb="1">
      <t>コ</t>
    </rPh>
    <phoneticPr fontId="3"/>
  </si>
  <si>
    <t>日</t>
    <rPh sb="0" eb="1">
      <t>ヒ</t>
    </rPh>
    <phoneticPr fontId="3"/>
  </si>
  <si>
    <t>月</t>
    <rPh sb="0" eb="1">
      <t>ガツ</t>
    </rPh>
    <phoneticPr fontId="3"/>
  </si>
  <si>
    <t>地域区分</t>
    <rPh sb="0" eb="4">
      <t>チイキクブン</t>
    </rPh>
    <phoneticPr fontId="3"/>
  </si>
  <si>
    <t>省エネレベル</t>
    <rPh sb="0" eb="1">
      <t>ショウ</t>
    </rPh>
    <phoneticPr fontId="3"/>
  </si>
  <si>
    <t>　</t>
    <phoneticPr fontId="3"/>
  </si>
  <si>
    <t>補助要綱別表３に定める提出書類及び添付書類に不足がないことを確認しました。</t>
    <rPh sb="0" eb="2">
      <t>ホジョ</t>
    </rPh>
    <rPh sb="2" eb="4">
      <t>ヨウコウ</t>
    </rPh>
    <rPh sb="4" eb="6">
      <t>ベッピョウ</t>
    </rPh>
    <rPh sb="8" eb="9">
      <t>サダ</t>
    </rPh>
    <rPh sb="11" eb="13">
      <t>テイシュツ</t>
    </rPh>
    <rPh sb="13" eb="15">
      <t>ショルイ</t>
    </rPh>
    <rPh sb="15" eb="16">
      <t>オヨ</t>
    </rPh>
    <rPh sb="17" eb="19">
      <t>テンプ</t>
    </rPh>
    <rPh sb="19" eb="21">
      <t>ショルイ</t>
    </rPh>
    <rPh sb="22" eb="24">
      <t>フソク</t>
    </rPh>
    <rPh sb="30" eb="32">
      <t>カクニン</t>
    </rPh>
    <phoneticPr fontId="3"/>
  </si>
  <si>
    <t>これまで国・地方自治体から本事業と同様の補助金を受けたことはありません。</t>
    <rPh sb="4" eb="5">
      <t>クニ</t>
    </rPh>
    <rPh sb="13" eb="16">
      <t>ホンジギョウ</t>
    </rPh>
    <phoneticPr fontId="3"/>
  </si>
  <si>
    <t>事業を実施する住宅は、現にZEH水準を満たしていません。</t>
    <rPh sb="0" eb="2">
      <t>ジギョウ</t>
    </rPh>
    <rPh sb="3" eb="5">
      <t>ジッシ</t>
    </rPh>
    <rPh sb="7" eb="9">
      <t>ジュウタク</t>
    </rPh>
    <rPh sb="11" eb="12">
      <t>ゲン</t>
    </rPh>
    <rPh sb="16" eb="18">
      <t>スイジュン</t>
    </rPh>
    <rPh sb="19" eb="20">
      <t>ミ</t>
    </rPh>
    <phoneticPr fontId="3"/>
  </si>
  <si>
    <t>無断熱から省エネ基準・ZEH水準、又は省エネ基準からZEH水準への改修を行います。</t>
    <rPh sb="0" eb="3">
      <t>ムダンネツ</t>
    </rPh>
    <rPh sb="5" eb="6">
      <t>ショウ</t>
    </rPh>
    <rPh sb="8" eb="10">
      <t>キジュン</t>
    </rPh>
    <rPh sb="14" eb="16">
      <t>スイジュン</t>
    </rPh>
    <rPh sb="17" eb="18">
      <t>マタ</t>
    </rPh>
    <rPh sb="19" eb="20">
      <t>ショウ</t>
    </rPh>
    <rPh sb="22" eb="24">
      <t>キジュン</t>
    </rPh>
    <rPh sb="29" eb="31">
      <t>スイジュン</t>
    </rPh>
    <rPh sb="33" eb="35">
      <t>カイシュウ</t>
    </rPh>
    <rPh sb="36" eb="37">
      <t>オコナ</t>
    </rPh>
    <phoneticPr fontId="3"/>
  </si>
  <si>
    <t>住宅の所有者又は賃借者です。</t>
    <rPh sb="0" eb="2">
      <t>ジュウタク</t>
    </rPh>
    <rPh sb="3" eb="6">
      <t>ショユウシャ</t>
    </rPh>
    <rPh sb="6" eb="7">
      <t>マタ</t>
    </rPh>
    <rPh sb="8" eb="11">
      <t>チンシャクシャ</t>
    </rPh>
    <phoneticPr fontId="3"/>
  </si>
  <si>
    <t>県税の滞納はありません。</t>
    <rPh sb="0" eb="2">
      <t>ケンゼイ</t>
    </rPh>
    <rPh sb="3" eb="5">
      <t>タイノウ</t>
    </rPh>
    <phoneticPr fontId="3"/>
  </si>
  <si>
    <t>地震に対する安全性が補助要綱別表１－２に定めるいずれかの方法により確認できています。</t>
    <rPh sb="0" eb="2">
      <t>ジシン</t>
    </rPh>
    <rPh sb="3" eb="4">
      <t>タイ</t>
    </rPh>
    <rPh sb="6" eb="9">
      <t>アンゼンセイ</t>
    </rPh>
    <rPh sb="10" eb="12">
      <t>ホジョ</t>
    </rPh>
    <rPh sb="12" eb="14">
      <t>ヨウコウ</t>
    </rPh>
    <rPh sb="14" eb="16">
      <t>ベッピョウ</t>
    </rPh>
    <rPh sb="20" eb="21">
      <t>サダ</t>
    </rPh>
    <rPh sb="28" eb="30">
      <t>ホウホウ</t>
    </rPh>
    <rPh sb="33" eb="35">
      <t>カクニン</t>
    </rPh>
    <phoneticPr fontId="3"/>
  </si>
  <si>
    <t>本事業の省エネ診断及び省エネ改修の補助を受けるのはいずれも１回目です。</t>
    <phoneticPr fontId="3"/>
  </si>
  <si>
    <t>事業を実施する住宅は、県内に所在する戸建住宅です。</t>
    <rPh sb="0" eb="2">
      <t>ジギョウ</t>
    </rPh>
    <rPh sb="3" eb="5">
      <t>ジッシ</t>
    </rPh>
    <rPh sb="7" eb="9">
      <t>ジュウタク</t>
    </rPh>
    <phoneticPr fontId="3"/>
  </si>
  <si>
    <t>設備の効率化に係る補助額は開口部や躯体等の断熱化に係る補助額以下となっています。</t>
    <rPh sb="13" eb="16">
      <t>カイコウブ</t>
    </rPh>
    <rPh sb="17" eb="20">
      <t>クタイトウ</t>
    </rPh>
    <phoneticPr fontId="3"/>
  </si>
  <si>
    <t>自ら居住するために行う断熱改修工事等であり、建築基準法等の関係法令に適合しています。</t>
    <rPh sb="0" eb="1">
      <t>ミズカ</t>
    </rPh>
    <rPh sb="2" eb="4">
      <t>キョジュウ</t>
    </rPh>
    <rPh sb="9" eb="10">
      <t>オコナ</t>
    </rPh>
    <rPh sb="11" eb="13">
      <t>ダンネツ</t>
    </rPh>
    <rPh sb="13" eb="15">
      <t>カイシュウ</t>
    </rPh>
    <rPh sb="15" eb="17">
      <t>コウジ</t>
    </rPh>
    <rPh sb="17" eb="18">
      <t>トウ</t>
    </rPh>
    <rPh sb="22" eb="24">
      <t>ケンチク</t>
    </rPh>
    <rPh sb="24" eb="26">
      <t>キジュン</t>
    </rPh>
    <rPh sb="26" eb="27">
      <t>ホウ</t>
    </rPh>
    <rPh sb="27" eb="28">
      <t>トウ</t>
    </rPh>
    <rPh sb="29" eb="31">
      <t>カンケイ</t>
    </rPh>
    <rPh sb="31" eb="33">
      <t>ホウレイ</t>
    </rPh>
    <rPh sb="34" eb="36">
      <t>テキゴウ</t>
    </rPh>
    <phoneticPr fontId="3"/>
  </si>
  <si>
    <t>円／㎥</t>
    <rPh sb="0" eb="1">
      <t>エン</t>
    </rPh>
    <phoneticPr fontId="3"/>
  </si>
  <si>
    <t>㎥</t>
  </si>
  <si>
    <t>省エネ基準相当</t>
    <rPh sb="0" eb="1">
      <t>ショウ</t>
    </rPh>
    <rPh sb="3" eb="5">
      <t>キジュン</t>
    </rPh>
    <rPh sb="5" eb="7">
      <t>ソウトウ</t>
    </rPh>
    <phoneticPr fontId="3"/>
  </si>
  <si>
    <t>ZEH 水準相当</t>
    <rPh sb="4" eb="6">
      <t>スイジュン</t>
    </rPh>
    <rPh sb="6" eb="8">
      <t>ソウトウ</t>
    </rPh>
    <phoneticPr fontId="3"/>
  </si>
  <si>
    <t>階建</t>
    <rPh sb="0" eb="2">
      <t>カイダ</t>
    </rPh>
    <phoneticPr fontId="3"/>
  </si>
  <si>
    <t>事業所所在地</t>
    <rPh sb="0" eb="3">
      <t>ジギョウショ</t>
    </rPh>
    <rPh sb="3" eb="6">
      <t>ショザイチ</t>
    </rPh>
    <rPh sb="4" eb="6">
      <t>ザイチ</t>
    </rPh>
    <phoneticPr fontId="3"/>
  </si>
  <si>
    <t>改修レベル</t>
    <rPh sb="0" eb="2">
      <t>カイシュウ</t>
    </rPh>
    <phoneticPr fontId="3"/>
  </si>
  <si>
    <t>省エネ基準</t>
    <rPh sb="0" eb="1">
      <t>ショウ</t>
    </rPh>
    <rPh sb="3" eb="5">
      <t>キジュン</t>
    </rPh>
    <phoneticPr fontId="3"/>
  </si>
  <si>
    <t>ZEH水準</t>
    <rPh sb="3" eb="5">
      <t>スイジュン</t>
    </rPh>
    <phoneticPr fontId="3"/>
  </si>
  <si>
    <t>改修範囲</t>
    <rPh sb="0" eb="4">
      <t>カイシュウハンイ</t>
    </rPh>
    <phoneticPr fontId="3"/>
  </si>
  <si>
    <t>全体</t>
    <rPh sb="0" eb="2">
      <t>ゼンタイ</t>
    </rPh>
    <phoneticPr fontId="3"/>
  </si>
  <si>
    <t>部分</t>
    <rPh sb="0" eb="2">
      <t>ブブン</t>
    </rPh>
    <phoneticPr fontId="3"/>
  </si>
  <si>
    <t>C．その他の工事</t>
    <rPh sb="4" eb="5">
      <t>タ</t>
    </rPh>
    <rPh sb="6" eb="8">
      <t>コウジ</t>
    </rPh>
    <phoneticPr fontId="3"/>
  </si>
  <si>
    <t>Cの合計額　×　補助率（23％）</t>
    <phoneticPr fontId="3"/>
  </si>
  <si>
    <t>申請概要</t>
    <rPh sb="0" eb="2">
      <t>シンセイ</t>
    </rPh>
    <rPh sb="2" eb="4">
      <t>ガイヨウ</t>
    </rPh>
    <phoneticPr fontId="3"/>
  </si>
  <si>
    <t>省エネ診断</t>
    <rPh sb="0" eb="1">
      <t>ショウ</t>
    </rPh>
    <rPh sb="3" eb="5">
      <t>シンダン</t>
    </rPh>
    <phoneticPr fontId="3"/>
  </si>
  <si>
    <t>モデル工事費</t>
    <rPh sb="3" eb="5">
      <t>コウジ</t>
    </rPh>
    <phoneticPr fontId="3"/>
  </si>
  <si>
    <t>改修補助上限額</t>
    <rPh sb="0" eb="2">
      <t>カイシュウ</t>
    </rPh>
    <rPh sb="2" eb="4">
      <t>ホジョ</t>
    </rPh>
    <rPh sb="4" eb="7">
      <t>ジョウゲンガク</t>
    </rPh>
    <phoneticPr fontId="3"/>
  </si>
  <si>
    <t>交付申請額</t>
    <rPh sb="0" eb="5">
      <t>コウフシンセイガク</t>
    </rPh>
    <phoneticPr fontId="3"/>
  </si>
  <si>
    <t>モデル工事費（単価）</t>
    <rPh sb="3" eb="6">
      <t>コウジヒ</t>
    </rPh>
    <rPh sb="7" eb="9">
      <t>タンカ</t>
    </rPh>
    <phoneticPr fontId="3"/>
  </si>
  <si>
    <t>Ａの合計額</t>
    <rPh sb="2" eb="5">
      <t>ゴウケイガク</t>
    </rPh>
    <phoneticPr fontId="3"/>
  </si>
  <si>
    <t>Ａの合計額（「モデル工事費」又は「実際の工事費」のうち、いずれか低い額）　×　補助率（23％）</t>
    <rPh sb="2" eb="4">
      <t>ゴウケイ</t>
    </rPh>
    <rPh sb="4" eb="5">
      <t>ガク</t>
    </rPh>
    <rPh sb="10" eb="13">
      <t>コウジヒ</t>
    </rPh>
    <rPh sb="14" eb="15">
      <t>マタ</t>
    </rPh>
    <rPh sb="17" eb="19">
      <t>ジッサイ</t>
    </rPh>
    <rPh sb="20" eb="23">
      <t>コウジヒ</t>
    </rPh>
    <rPh sb="32" eb="33">
      <t>ヒク</t>
    </rPh>
    <rPh sb="34" eb="35">
      <t>ガク</t>
    </rPh>
    <rPh sb="39" eb="42">
      <t>ホジョリツ</t>
    </rPh>
    <phoneticPr fontId="3"/>
  </si>
  <si>
    <t>内窓設置・
外窓交換</t>
    <rPh sb="0" eb="2">
      <t>ウチマド</t>
    </rPh>
    <rPh sb="2" eb="4">
      <t>セッチ</t>
    </rPh>
    <rPh sb="6" eb="8">
      <t>ソトマド</t>
    </rPh>
    <rPh sb="8" eb="10">
      <t>コウカン</t>
    </rPh>
    <phoneticPr fontId="3"/>
  </si>
  <si>
    <t>A-1
既存開口部の断熱改修
【必須工事】</t>
    <rPh sb="4" eb="6">
      <t>キゾン</t>
    </rPh>
    <rPh sb="6" eb="9">
      <t>カイコウブ</t>
    </rPh>
    <rPh sb="10" eb="12">
      <t>ダンネツ</t>
    </rPh>
    <rPh sb="12" eb="14">
      <t>カイシュウ</t>
    </rPh>
    <rPh sb="16" eb="18">
      <t>ヒッス</t>
    </rPh>
    <rPh sb="18" eb="20">
      <t>コウジ</t>
    </rPh>
    <phoneticPr fontId="3"/>
  </si>
  <si>
    <t>A-2
既存外壁、
屋根・天井、
床の断熱
【任意工事】</t>
    <rPh sb="4" eb="6">
      <t>キゾン</t>
    </rPh>
    <rPh sb="6" eb="8">
      <t>ガイヘキ</t>
    </rPh>
    <rPh sb="10" eb="12">
      <t>ヤネ</t>
    </rPh>
    <rPh sb="13" eb="15">
      <t>テンジョウ</t>
    </rPh>
    <rPh sb="17" eb="18">
      <t>ユカ</t>
    </rPh>
    <rPh sb="19" eb="21">
      <t>ダンネツ</t>
    </rPh>
    <rPh sb="23" eb="25">
      <t>ニンイ</t>
    </rPh>
    <rPh sb="25" eb="27">
      <t>コウジ</t>
    </rPh>
    <phoneticPr fontId="3"/>
  </si>
  <si>
    <t>設備の高効率化工事
【任意工事】</t>
    <rPh sb="0" eb="2">
      <t>セツビ</t>
    </rPh>
    <rPh sb="3" eb="7">
      <t>コウコウリツカ</t>
    </rPh>
    <rPh sb="7" eb="9">
      <t>コウジ</t>
    </rPh>
    <rPh sb="11" eb="15">
      <t>ニンイコウジ</t>
    </rPh>
    <phoneticPr fontId="3"/>
  </si>
  <si>
    <t>番号</t>
    <rPh sb="0" eb="2">
      <t>バンゴウ</t>
    </rPh>
    <phoneticPr fontId="3"/>
  </si>
  <si>
    <t>室名</t>
    <rPh sb="0" eb="2">
      <t>シツメイ</t>
    </rPh>
    <phoneticPr fontId="3"/>
  </si>
  <si>
    <t>改修内容</t>
    <rPh sb="0" eb="2">
      <t>カイシュウ</t>
    </rPh>
    <rPh sb="2" eb="4">
      <t>ナイヨウ</t>
    </rPh>
    <phoneticPr fontId="3"/>
  </si>
  <si>
    <t>規模・性能・数量</t>
    <rPh sb="0" eb="2">
      <t>キボ</t>
    </rPh>
    <rPh sb="3" eb="5">
      <t>セイノウ</t>
    </rPh>
    <rPh sb="6" eb="8">
      <t>スウリョウ</t>
    </rPh>
    <phoneticPr fontId="3"/>
  </si>
  <si>
    <t>使用する製品</t>
    <rPh sb="0" eb="2">
      <t>シヨウ</t>
    </rPh>
    <rPh sb="4" eb="6">
      <t>セイヒン</t>
    </rPh>
    <phoneticPr fontId="3"/>
  </si>
  <si>
    <t>備考</t>
    <rPh sb="0" eb="2">
      <t>ビコウ</t>
    </rPh>
    <phoneticPr fontId="3"/>
  </si>
  <si>
    <t>タテ
（ｍ）</t>
    <phoneticPr fontId="3"/>
  </si>
  <si>
    <t>面積
（㎡）</t>
    <rPh sb="0" eb="2">
      <t>メンセキ</t>
    </rPh>
    <phoneticPr fontId="3"/>
  </si>
  <si>
    <t>厚さ（ｍ）</t>
    <rPh sb="0" eb="1">
      <t>アツ</t>
    </rPh>
    <phoneticPr fontId="3"/>
  </si>
  <si>
    <t>体積（㎥）</t>
    <rPh sb="0" eb="2">
      <t>タイセキ</t>
    </rPh>
    <phoneticPr fontId="3"/>
  </si>
  <si>
    <t>メーカー名</t>
    <rPh sb="4" eb="5">
      <t>メイ</t>
    </rPh>
    <phoneticPr fontId="3"/>
  </si>
  <si>
    <t>製品名</t>
    <phoneticPr fontId="3"/>
  </si>
  <si>
    <t>P</t>
    <phoneticPr fontId="3"/>
  </si>
  <si>
    <t>外窓交換</t>
    <rPh sb="0" eb="1">
      <t>ソト</t>
    </rPh>
    <rPh sb="1" eb="2">
      <t>マド</t>
    </rPh>
    <rPh sb="2" eb="4">
      <t>コウカン</t>
    </rPh>
    <phoneticPr fontId="3"/>
  </si>
  <si>
    <t>S</t>
    <phoneticPr fontId="3"/>
  </si>
  <si>
    <t>内窓設置</t>
    <rPh sb="0" eb="2">
      <t>ウチマド</t>
    </rPh>
    <rPh sb="2" eb="4">
      <t>セッチ</t>
    </rPh>
    <phoneticPr fontId="3"/>
  </si>
  <si>
    <t>A</t>
    <phoneticPr fontId="3"/>
  </si>
  <si>
    <t>A-1</t>
    <phoneticPr fontId="3"/>
  </si>
  <si>
    <t>外壁断熱</t>
    <rPh sb="0" eb="2">
      <t>ガイヘキ</t>
    </rPh>
    <rPh sb="2" eb="4">
      <t>ダンネツ</t>
    </rPh>
    <phoneticPr fontId="3"/>
  </si>
  <si>
    <t>C</t>
  </si>
  <si>
    <t>A-2</t>
    <phoneticPr fontId="3"/>
  </si>
  <si>
    <t>屋根・天井断熱</t>
    <rPh sb="0" eb="2">
      <t>ヤネ</t>
    </rPh>
    <rPh sb="3" eb="5">
      <t>テンジョウ</t>
    </rPh>
    <rPh sb="5" eb="7">
      <t>ダンネツ</t>
    </rPh>
    <phoneticPr fontId="3"/>
  </si>
  <si>
    <t>B</t>
    <phoneticPr fontId="3"/>
  </si>
  <si>
    <t>床断熱</t>
    <rPh sb="0" eb="1">
      <t>ユカ</t>
    </rPh>
    <rPh sb="1" eb="3">
      <t>ダンネツ</t>
    </rPh>
    <phoneticPr fontId="3"/>
  </si>
  <si>
    <t>C</t>
    <phoneticPr fontId="3"/>
  </si>
  <si>
    <t>D</t>
    <phoneticPr fontId="3"/>
  </si>
  <si>
    <t>E</t>
    <phoneticPr fontId="3"/>
  </si>
  <si>
    <t>エコキュート</t>
  </si>
  <si>
    <t>F</t>
    <phoneticPr fontId="3"/>
  </si>
  <si>
    <t>エコジョーズ</t>
  </si>
  <si>
    <t>Y</t>
    <phoneticPr fontId="3"/>
  </si>
  <si>
    <t>エコフィール</t>
  </si>
  <si>
    <t>Z</t>
    <phoneticPr fontId="3"/>
  </si>
  <si>
    <t>ヒートポンプ・ガス瞬間式併用型給湯機</t>
    <rPh sb="9" eb="11">
      <t>シュンカン</t>
    </rPh>
    <rPh sb="11" eb="12">
      <t>シキ</t>
    </rPh>
    <rPh sb="12" eb="15">
      <t>ヘイヨウガタ</t>
    </rPh>
    <rPh sb="15" eb="17">
      <t>キュウトウ</t>
    </rPh>
    <rPh sb="17" eb="18">
      <t>キ</t>
    </rPh>
    <phoneticPr fontId="3"/>
  </si>
  <si>
    <t>サイズ
（大・中・小）</t>
    <rPh sb="5" eb="6">
      <t>ダイ</t>
    </rPh>
    <rPh sb="7" eb="8">
      <t>チュウ</t>
    </rPh>
    <rPh sb="9" eb="10">
      <t>ショウ</t>
    </rPh>
    <phoneticPr fontId="3"/>
  </si>
  <si>
    <t>小</t>
    <rPh sb="0" eb="1">
      <t>ショウ</t>
    </rPh>
    <phoneticPr fontId="3"/>
  </si>
  <si>
    <t>中</t>
    <rPh sb="0" eb="1">
      <t>チュウ</t>
    </rPh>
    <phoneticPr fontId="3"/>
  </si>
  <si>
    <t>大</t>
    <rPh sb="0" eb="1">
      <t>ダイ</t>
    </rPh>
    <phoneticPr fontId="3"/>
  </si>
  <si>
    <t>ヨコ
（ｍ）</t>
    <phoneticPr fontId="3"/>
  </si>
  <si>
    <t>地域区分</t>
    <rPh sb="0" eb="4">
      <t>チイキクブン</t>
    </rPh>
    <phoneticPr fontId="3"/>
  </si>
  <si>
    <t>リスト</t>
    <phoneticPr fontId="3"/>
  </si>
  <si>
    <t>開口部サイズ</t>
    <rPh sb="0" eb="3">
      <t>カイコウブ</t>
    </rPh>
    <phoneticPr fontId="3"/>
  </si>
  <si>
    <t>ドア交換【開戸】</t>
    <rPh sb="2" eb="4">
      <t>コウカン</t>
    </rPh>
    <rPh sb="5" eb="6">
      <t>ヒラ</t>
    </rPh>
    <rPh sb="6" eb="7">
      <t>ト</t>
    </rPh>
    <phoneticPr fontId="3"/>
  </si>
  <si>
    <t>ドア交換【引戸】</t>
    <rPh sb="2" eb="4">
      <t>コウカン</t>
    </rPh>
    <rPh sb="5" eb="7">
      <t>ヒキド</t>
    </rPh>
    <phoneticPr fontId="3"/>
  </si>
  <si>
    <t>節湯水栓【浴室シャワー水栓以外】</t>
    <rPh sb="0" eb="1">
      <t>セツ</t>
    </rPh>
    <rPh sb="1" eb="2">
      <t>ユ</t>
    </rPh>
    <rPh sb="2" eb="4">
      <t>スイセン</t>
    </rPh>
    <rPh sb="5" eb="7">
      <t>ヨクシツ</t>
    </rPh>
    <rPh sb="11" eb="13">
      <t>スイセン</t>
    </rPh>
    <rPh sb="13" eb="15">
      <t>イガイ</t>
    </rPh>
    <phoneticPr fontId="3"/>
  </si>
  <si>
    <t>節湯水栓【浴室シャワー水栓】</t>
    <rPh sb="0" eb="1">
      <t>セツ</t>
    </rPh>
    <rPh sb="1" eb="2">
      <t>ユ</t>
    </rPh>
    <rPh sb="2" eb="4">
      <t>スイセン</t>
    </rPh>
    <rPh sb="5" eb="7">
      <t>ヨクシツ</t>
    </rPh>
    <rPh sb="11" eb="13">
      <t>スイセン</t>
    </rPh>
    <phoneticPr fontId="3"/>
  </si>
  <si>
    <t>その他【全体改修時のみ選択可】</t>
    <rPh sb="2" eb="3">
      <t>タ</t>
    </rPh>
    <rPh sb="4" eb="8">
      <t>ゼンタイカイシュウ</t>
    </rPh>
    <rPh sb="8" eb="9">
      <t>ジ</t>
    </rPh>
    <rPh sb="11" eb="13">
      <t>センタク</t>
    </rPh>
    <rPh sb="13" eb="14">
      <t>カ</t>
    </rPh>
    <phoneticPr fontId="3"/>
  </si>
  <si>
    <t>B</t>
  </si>
  <si>
    <t>コージェネレーション設備［一式］</t>
    <rPh sb="10" eb="12">
      <t>セツビ</t>
    </rPh>
    <rPh sb="13" eb="15">
      <t>イッシキ</t>
    </rPh>
    <phoneticPr fontId="2"/>
  </si>
  <si>
    <t>LED照明［一式］</t>
    <rPh sb="3" eb="5">
      <t>ショウメイ</t>
    </rPh>
    <phoneticPr fontId="2"/>
  </si>
  <si>
    <t>台所</t>
    <rPh sb="0" eb="2">
      <t>ダイドコロ</t>
    </rPh>
    <phoneticPr fontId="3"/>
  </si>
  <si>
    <t>食堂</t>
    <rPh sb="0" eb="2">
      <t>ショクドウ</t>
    </rPh>
    <phoneticPr fontId="3"/>
  </si>
  <si>
    <t>脱衣所</t>
    <rPh sb="0" eb="3">
      <t>ダツイジョ</t>
    </rPh>
    <phoneticPr fontId="3"/>
  </si>
  <si>
    <t xml:space="preserve">氏名  </t>
    <rPh sb="0" eb="2">
      <t>フリガナ</t>
    </rPh>
    <phoneticPr fontId="3" alignment="distributed"/>
  </si>
  <si>
    <t>○</t>
    <phoneticPr fontId="3"/>
  </si>
  <si>
    <t>LDK</t>
    <phoneticPr fontId="3"/>
  </si>
  <si>
    <t>高効率給湯器</t>
    <rPh sb="0" eb="3">
      <t>コウコウリツ</t>
    </rPh>
    <rPh sb="3" eb="6">
      <t>キュウトウキ</t>
    </rPh>
    <phoneticPr fontId="2"/>
  </si>
  <si>
    <t>設備効率化によるCO2排出削減量</t>
    <rPh sb="0" eb="5">
      <t>セツビコウリツカ</t>
    </rPh>
    <rPh sb="11" eb="13">
      <t>ハイシュツ</t>
    </rPh>
    <rPh sb="13" eb="16">
      <t>サクゲンリョウ</t>
    </rPh>
    <phoneticPr fontId="3"/>
  </si>
  <si>
    <t>平均CO2排出削減量（㎏/年）</t>
    <rPh sb="0" eb="2">
      <t>ヘイキン</t>
    </rPh>
    <rPh sb="5" eb="7">
      <t>ハイシュツ</t>
    </rPh>
    <rPh sb="7" eb="10">
      <t>サクゲンリョウ</t>
    </rPh>
    <rPh sb="13" eb="14">
      <t>ネン</t>
    </rPh>
    <phoneticPr fontId="2"/>
  </si>
  <si>
    <t>箇所数</t>
    <rPh sb="0" eb="3">
      <t>カショスウ</t>
    </rPh>
    <phoneticPr fontId="3"/>
  </si>
  <si>
    <t>←CO2排出削減量</t>
    <rPh sb="4" eb="6">
      <t>ハイシュツ</t>
    </rPh>
    <rPh sb="6" eb="9">
      <t>サクゲンリョウ</t>
    </rPh>
    <phoneticPr fontId="3"/>
  </si>
  <si>
    <t>暖房負荷削減量（MJ/年）×0.068（㎏-CO2/MJ）/1000+設備効率化によるCO2排出削減量（㎏/年)/1000</t>
    <rPh sb="0" eb="2">
      <t>ダンボウ</t>
    </rPh>
    <rPh sb="2" eb="4">
      <t>フカ</t>
    </rPh>
    <rPh sb="4" eb="7">
      <t>サクゲンリョウ</t>
    </rPh>
    <rPh sb="11" eb="12">
      <t>ネン</t>
    </rPh>
    <rPh sb="35" eb="37">
      <t>セツビ</t>
    </rPh>
    <rPh sb="37" eb="40">
      <t>コウリツカ</t>
    </rPh>
    <rPh sb="46" eb="48">
      <t>ハイシュツ</t>
    </rPh>
    <rPh sb="48" eb="51">
      <t>サクゲンリョウ</t>
    </rPh>
    <rPh sb="54" eb="55">
      <t>ネン</t>
    </rPh>
    <phoneticPr fontId="8"/>
  </si>
  <si>
    <t>↑ZEH水準の場合1.05</t>
    <rPh sb="4" eb="6">
      <t>スイジュン</t>
    </rPh>
    <rPh sb="7" eb="9">
      <t>バアイ</t>
    </rPh>
    <phoneticPr fontId="3"/>
  </si>
  <si>
    <t>省エネ改修によるCO2排出削減量［t-CO2］</t>
    <rPh sb="0" eb="1">
      <t>ショウ</t>
    </rPh>
    <rPh sb="3" eb="5">
      <t>カイシュウ</t>
    </rPh>
    <rPh sb="11" eb="13">
      <t>ハイシュツ</t>
    </rPh>
    <rPh sb="13" eb="16">
      <t>サクゲンリョウ</t>
    </rPh>
    <phoneticPr fontId="3"/>
  </si>
  <si>
    <t>室名種類</t>
    <rPh sb="0" eb="2">
      <t>シツメイ</t>
    </rPh>
    <rPh sb="2" eb="4">
      <t>シュルイ</t>
    </rPh>
    <phoneticPr fontId="3"/>
  </si>
  <si>
    <t>室ごとの改修箇所数</t>
    <rPh sb="0" eb="1">
      <t>シツ</t>
    </rPh>
    <rPh sb="4" eb="6">
      <t>カイシュウ</t>
    </rPh>
    <rPh sb="6" eb="8">
      <t>カショ</t>
    </rPh>
    <rPh sb="8" eb="9">
      <t>スウ</t>
    </rPh>
    <phoneticPr fontId="3"/>
  </si>
  <si>
    <t>室名（改修箇所多い順）</t>
    <rPh sb="0" eb="2">
      <t>シツメイ</t>
    </rPh>
    <rPh sb="3" eb="5">
      <t>カイシュウ</t>
    </rPh>
    <rPh sb="5" eb="7">
      <t>カショ</t>
    </rPh>
    <rPh sb="7" eb="8">
      <t>オオ</t>
    </rPh>
    <rPh sb="9" eb="10">
      <t>ジュン</t>
    </rPh>
    <phoneticPr fontId="3"/>
  </si>
  <si>
    <t>省エネ改修の内容</t>
    <rPh sb="0" eb="1">
      <t>ショウ</t>
    </rPh>
    <rPh sb="3" eb="5">
      <t>カイシュウ</t>
    </rPh>
    <rPh sb="6" eb="8">
      <t>ナイヨウ</t>
    </rPh>
    <phoneticPr fontId="3"/>
  </si>
  <si>
    <t>事業の種類</t>
    <rPh sb="0" eb="2">
      <t>ジギョウ</t>
    </rPh>
    <rPh sb="3" eb="5">
      <t>シュルイ</t>
    </rPh>
    <phoneticPr fontId="3"/>
  </si>
  <si>
    <t>１　対象住宅の概要（改修前の状況）</t>
    <rPh sb="2" eb="4">
      <t>タイショウ</t>
    </rPh>
    <rPh sb="4" eb="6">
      <t>ジュウタク</t>
    </rPh>
    <rPh sb="7" eb="9">
      <t>ガイヨウ</t>
    </rPh>
    <rPh sb="10" eb="13">
      <t>カイシュウマエ</t>
    </rPh>
    <rPh sb="14" eb="16">
      <t>ジョウキョウ</t>
    </rPh>
    <phoneticPr fontId="3"/>
  </si>
  <si>
    <t>地域区分</t>
    <rPh sb="0" eb="2">
      <t>チイキ</t>
    </rPh>
    <rPh sb="2" eb="4">
      <t>クブン</t>
    </rPh>
    <phoneticPr fontId="3"/>
  </si>
  <si>
    <t>３　補助申請内容（該当する項目に☑してください。）※補助を受けるには各補助要件を満たすことが必要です。</t>
    <rPh sb="2" eb="4">
      <t>ホジョ</t>
    </rPh>
    <rPh sb="4" eb="6">
      <t>シンセイ</t>
    </rPh>
    <rPh sb="6" eb="8">
      <t>ナイヨウ</t>
    </rPh>
    <phoneticPr fontId="3"/>
  </si>
  <si>
    <t>BELSの評価・認証に係る費用（③）</t>
    <rPh sb="5" eb="7">
      <t>ヒョウカ</t>
    </rPh>
    <rPh sb="8" eb="10">
      <t>ニンショウ</t>
    </rPh>
    <rPh sb="11" eb="12">
      <t>カカ</t>
    </rPh>
    <rPh sb="13" eb="15">
      <t>ヒヨウ</t>
    </rPh>
    <phoneticPr fontId="3"/>
  </si>
  <si>
    <t>調査に係る費用（②）</t>
    <rPh sb="0" eb="2">
      <t>チョウサ</t>
    </rPh>
    <rPh sb="3" eb="4">
      <t>カカ</t>
    </rPh>
    <rPh sb="5" eb="7">
      <t>ヒヨウ</t>
    </rPh>
    <phoneticPr fontId="3"/>
  </si>
  <si>
    <t>診断に係る費用（①）</t>
    <rPh sb="0" eb="2">
      <t>シンダン</t>
    </rPh>
    <rPh sb="3" eb="4">
      <t>カカ</t>
    </rPh>
    <rPh sb="5" eb="7">
      <t>ヒヨウ</t>
    </rPh>
    <phoneticPr fontId="3"/>
  </si>
  <si>
    <t>補助金名及び実施主体</t>
    <rPh sb="4" eb="5">
      <t>オヨ</t>
    </rPh>
    <phoneticPr fontId="3"/>
  </si>
  <si>
    <t>４　申請者による確認（必ず申請者自ら、次の項目全てに☑が入ることを確認してください。）</t>
    <rPh sb="2" eb="5">
      <t>シンセイシャ</t>
    </rPh>
    <rPh sb="8" eb="10">
      <t>カクニン</t>
    </rPh>
    <rPh sb="11" eb="12">
      <t>カナラ</t>
    </rPh>
    <rPh sb="28" eb="29">
      <t>ハイ</t>
    </rPh>
    <phoneticPr fontId="3"/>
  </si>
  <si>
    <t>補助申請額(自動計算）</t>
    <rPh sb="0" eb="2">
      <t>ホジョ</t>
    </rPh>
    <rPh sb="2" eb="4">
      <t>シンセイ</t>
    </rPh>
    <rPh sb="4" eb="5">
      <t>ガク</t>
    </rPh>
    <rPh sb="6" eb="10">
      <t>ジドウケイサン</t>
    </rPh>
    <phoneticPr fontId="3"/>
  </si>
  <si>
    <t>イ　天井、壁又は床のいずれか１つ以上の断熱改修を行う。</t>
    <rPh sb="24" eb="25">
      <t>オコナ</t>
    </rPh>
    <phoneticPr fontId="3"/>
  </si>
  <si>
    <t>オ　天井が外気に面している場合は、天井の断熱改修を行う。</t>
    <rPh sb="2" eb="4">
      <t>テンジョウ</t>
    </rPh>
    <rPh sb="5" eb="7">
      <t>ガイキ</t>
    </rPh>
    <rPh sb="8" eb="9">
      <t>メン</t>
    </rPh>
    <rPh sb="13" eb="15">
      <t>バアイ</t>
    </rPh>
    <rPh sb="17" eb="19">
      <t>テンジョウ</t>
    </rPh>
    <rPh sb="20" eb="22">
      <t>ダンネツ</t>
    </rPh>
    <rPh sb="22" eb="24">
      <t>カイシュウ</t>
    </rPh>
    <rPh sb="25" eb="26">
      <t>オコナ</t>
    </rPh>
    <phoneticPr fontId="3"/>
  </si>
  <si>
    <t>キ　天井が外気に面している場合は、天井の断熱改修を行う。</t>
    <rPh sb="2" eb="4">
      <t>テンジョウ</t>
    </rPh>
    <rPh sb="5" eb="7">
      <t>ガイキ</t>
    </rPh>
    <rPh sb="8" eb="9">
      <t>メン</t>
    </rPh>
    <rPh sb="13" eb="15">
      <t>バアイ</t>
    </rPh>
    <rPh sb="17" eb="19">
      <t>テンジョウ</t>
    </rPh>
    <rPh sb="20" eb="22">
      <t>ダンネツ</t>
    </rPh>
    <rPh sb="22" eb="24">
      <t>カイシュウ</t>
    </rPh>
    <rPh sb="25" eb="26">
      <t>オコナ</t>
    </rPh>
    <phoneticPr fontId="3"/>
  </si>
  <si>
    <t>カ　全ての窓の断熱改修を行う。</t>
    <rPh sb="2" eb="3">
      <t>スベ</t>
    </rPh>
    <rPh sb="5" eb="6">
      <t>マド</t>
    </rPh>
    <phoneticPr fontId="3"/>
  </si>
  <si>
    <t>エ　全ての窓の断熱改修を行う。</t>
    <rPh sb="2" eb="3">
      <t>スベ</t>
    </rPh>
    <rPh sb="5" eb="6">
      <t>マド</t>
    </rPh>
    <rPh sb="7" eb="9">
      <t>ダンネツ</t>
    </rPh>
    <rPh sb="9" eb="11">
      <t>カイシュウ</t>
    </rPh>
    <phoneticPr fontId="3"/>
  </si>
  <si>
    <t>ア　全ての窓の断熱改修を行う。</t>
    <rPh sb="5" eb="6">
      <t>マド</t>
    </rPh>
    <rPh sb="7" eb="9">
      <t>ダンネツ</t>
    </rPh>
    <rPh sb="9" eb="11">
      <t>カイシュウ</t>
    </rPh>
    <phoneticPr fontId="3"/>
  </si>
  <si>
    <t>加算判定</t>
    <rPh sb="0" eb="4">
      <t>カサンハンテイ</t>
    </rPh>
    <phoneticPr fontId="3"/>
  </si>
  <si>
    <t>ア</t>
    <phoneticPr fontId="3"/>
  </si>
  <si>
    <t>イ</t>
    <phoneticPr fontId="3"/>
  </si>
  <si>
    <t>ウ</t>
    <phoneticPr fontId="3"/>
  </si>
  <si>
    <t>エ</t>
    <phoneticPr fontId="3"/>
  </si>
  <si>
    <t>オ</t>
    <phoneticPr fontId="3"/>
  </si>
  <si>
    <t>カ</t>
    <phoneticPr fontId="3"/>
  </si>
  <si>
    <t>キ</t>
    <phoneticPr fontId="3"/>
  </si>
  <si>
    <t>【加算の判定】</t>
    <rPh sb="1" eb="3">
      <t>カサン</t>
    </rPh>
    <rPh sb="4" eb="6">
      <t>ハンテイ</t>
    </rPh>
    <phoneticPr fontId="3"/>
  </si>
  <si>
    <t>省エネ診断</t>
    <rPh sb="0" eb="1">
      <t>ショウ</t>
    </rPh>
    <rPh sb="3" eb="5">
      <t>シンダン</t>
    </rPh>
    <phoneticPr fontId="3"/>
  </si>
  <si>
    <t>省エネ改修</t>
    <rPh sb="0" eb="1">
      <t>ショウ</t>
    </rPh>
    <rPh sb="3" eb="5">
      <t>カイシュウ</t>
    </rPh>
    <phoneticPr fontId="3"/>
  </si>
  <si>
    <t>合計</t>
    <rPh sb="0" eb="2">
      <t>ゴウケイ</t>
    </rPh>
    <phoneticPr fontId="3"/>
  </si>
  <si>
    <t>他の補助制度利用の有無</t>
    <rPh sb="2" eb="4">
      <t>ホジョ</t>
    </rPh>
    <rPh sb="4" eb="6">
      <t>セイド</t>
    </rPh>
    <rPh sb="6" eb="8">
      <t>リヨウ</t>
    </rPh>
    <rPh sb="9" eb="11">
      <t>ウム</t>
    </rPh>
    <phoneticPr fontId="3"/>
  </si>
  <si>
    <t>実際の工事費
（材料費・施工費・諸経費相当額・消費税相当額を含む）</t>
    <rPh sb="0" eb="2">
      <t>ジッサイ</t>
    </rPh>
    <rPh sb="3" eb="6">
      <t>コウジヒ</t>
    </rPh>
    <rPh sb="8" eb="11">
      <t>ザイリョウヒ</t>
    </rPh>
    <rPh sb="12" eb="14">
      <t>セコウ</t>
    </rPh>
    <rPh sb="14" eb="15">
      <t>ヒ</t>
    </rPh>
    <rPh sb="16" eb="19">
      <t>ショケイヒ</t>
    </rPh>
    <rPh sb="19" eb="21">
      <t>ソウトウ</t>
    </rPh>
    <rPh sb="21" eb="22">
      <t>ガク</t>
    </rPh>
    <rPh sb="23" eb="26">
      <t>ショウヒゼイ</t>
    </rPh>
    <rPh sb="26" eb="28">
      <t>ソウトウ</t>
    </rPh>
    <rPh sb="28" eb="29">
      <t>ガク</t>
    </rPh>
    <rPh sb="30" eb="31">
      <t>フク</t>
    </rPh>
    <phoneticPr fontId="3"/>
  </si>
  <si>
    <t>①＋②＋③</t>
    <phoneticPr fontId="3"/>
  </si>
  <si>
    <t>合計（④）</t>
    <rPh sb="0" eb="2">
      <t>ゴウケイ</t>
    </rPh>
    <phoneticPr fontId="3"/>
  </si>
  <si>
    <t>※どちらか一方</t>
    <rPh sb="5" eb="7">
      <t>イッポウ</t>
    </rPh>
    <phoneticPr fontId="3"/>
  </si>
  <si>
    <t>第１－２号様式</t>
    <rPh sb="0" eb="1">
      <t>ダイ</t>
    </rPh>
    <rPh sb="4" eb="7">
      <t>ゴウヨウシキ</t>
    </rPh>
    <phoneticPr fontId="3"/>
  </si>
  <si>
    <t>CO2排出削減量算定</t>
    <rPh sb="3" eb="5">
      <t>ハイシュツ</t>
    </rPh>
    <rPh sb="5" eb="8">
      <t>サクゲンリョウ</t>
    </rPh>
    <rPh sb="8" eb="10">
      <t>サンテイ</t>
    </rPh>
    <phoneticPr fontId="3"/>
  </si>
  <si>
    <t>診断に係る費用</t>
    <rPh sb="0" eb="2">
      <t>シンダン</t>
    </rPh>
    <rPh sb="3" eb="4">
      <t>カカ</t>
    </rPh>
    <rPh sb="5" eb="7">
      <t>ヒヨウ</t>
    </rPh>
    <phoneticPr fontId="3"/>
  </si>
  <si>
    <t>調査に係る費用</t>
    <rPh sb="0" eb="2">
      <t>チョウサ</t>
    </rPh>
    <rPh sb="3" eb="4">
      <t>カカ</t>
    </rPh>
    <rPh sb="5" eb="7">
      <t>ヒヨウ</t>
    </rPh>
    <phoneticPr fontId="3"/>
  </si>
  <si>
    <t>BELSの評価・認証に係る費用</t>
    <rPh sb="5" eb="7">
      <t>ヒョウカ</t>
    </rPh>
    <rPh sb="8" eb="10">
      <t>ニンショウ</t>
    </rPh>
    <rPh sb="11" eb="12">
      <t>カカ</t>
    </rPh>
    <rPh sb="13" eb="15">
      <t>ヒヨウ</t>
    </rPh>
    <phoneticPr fontId="3"/>
  </si>
  <si>
    <t>円</t>
    <rPh sb="0" eb="1">
      <t>エン</t>
    </rPh>
    <phoneticPr fontId="3"/>
  </si>
  <si>
    <t>補助申請額（⑤）
（千円未満切り捨て）</t>
    <rPh sb="0" eb="2">
      <t>ホジョ</t>
    </rPh>
    <rPh sb="2" eb="4">
      <t>シンセイ</t>
    </rPh>
    <rPh sb="4" eb="5">
      <t>ガク</t>
    </rPh>
    <rPh sb="10" eb="11">
      <t>セン</t>
    </rPh>
    <rPh sb="11" eb="12">
      <t>エン</t>
    </rPh>
    <rPh sb="12" eb="14">
      <t>ミマン</t>
    </rPh>
    <rPh sb="14" eb="15">
      <t>キ</t>
    </rPh>
    <rPh sb="16" eb="17">
      <t>ス</t>
    </rPh>
    <phoneticPr fontId="3"/>
  </si>
  <si>
    <t>省エネ診断　補助申請額算定</t>
    <rPh sb="0" eb="1">
      <t>ショウ</t>
    </rPh>
    <rPh sb="3" eb="5">
      <t>シンダン</t>
    </rPh>
    <rPh sb="6" eb="8">
      <t>ホジョ</t>
    </rPh>
    <rPh sb="8" eb="11">
      <t>シンセイガク</t>
    </rPh>
    <rPh sb="11" eb="13">
      <t>サンテイ</t>
    </rPh>
    <phoneticPr fontId="3"/>
  </si>
  <si>
    <t>Ｂの合計額（「モデル工事費」又は「実際の工事費」のうち、いずれか低い額）　×　補助率（23％）</t>
  </si>
  <si>
    <t>Ａの合計額×補助率（①）</t>
    <rPh sb="2" eb="5">
      <t>ゴウケイガク</t>
    </rPh>
    <rPh sb="6" eb="9">
      <t>ホジョリツ</t>
    </rPh>
    <phoneticPr fontId="3"/>
  </si>
  <si>
    <t>Ｂの合計額×補助率（②）</t>
    <rPh sb="2" eb="5">
      <t>ゴウケイガク</t>
    </rPh>
    <rPh sb="6" eb="9">
      <t>ホジョリツ</t>
    </rPh>
    <phoneticPr fontId="3"/>
  </si>
  <si>
    <t>Ｃの合計額×補助率（③）</t>
    <rPh sb="2" eb="5">
      <t>ゴウケイガク</t>
    </rPh>
    <rPh sb="6" eb="9">
      <t>ホジョリツ</t>
    </rPh>
    <phoneticPr fontId="3"/>
  </si>
  <si>
    <t>④＋⑤</t>
    <phoneticPr fontId="3"/>
  </si>
  <si>
    <t>「④ × 2/3」、「補助上限額22,000円」のいずれか低い額</t>
    <rPh sb="11" eb="13">
      <t>ホジョ</t>
    </rPh>
    <rPh sb="15" eb="16">
      <t>ガク</t>
    </rPh>
    <phoneticPr fontId="3"/>
  </si>
  <si>
    <t>適合させる省エネレベルが混在する場合は、
省エネ基準相当に☑してください。</t>
    <rPh sb="0" eb="2">
      <t>テキゴウ</t>
    </rPh>
    <rPh sb="5" eb="6">
      <t>ショウ</t>
    </rPh>
    <rPh sb="12" eb="14">
      <t>コンザイ</t>
    </rPh>
    <rPh sb="16" eb="18">
      <t>バアイ</t>
    </rPh>
    <rPh sb="21" eb="22">
      <t>ショウ</t>
    </rPh>
    <rPh sb="24" eb="26">
      <t>キジュン</t>
    </rPh>
    <rPh sb="26" eb="28">
      <t>ソウトウ</t>
    </rPh>
    <phoneticPr fontId="3"/>
  </si>
  <si>
    <t>右のア～キすべてに☑が入る場合に加算を受けることができます。
（対象となる窓・天井がない場合及び断熱改修済みの場合も☑を入れる）</t>
    <rPh sb="0" eb="1">
      <t>ミギ</t>
    </rPh>
    <rPh sb="11" eb="12">
      <t>ハイ</t>
    </rPh>
    <rPh sb="13" eb="15">
      <t>バアイ</t>
    </rPh>
    <rPh sb="16" eb="18">
      <t>カサン</t>
    </rPh>
    <rPh sb="19" eb="20">
      <t>ウ</t>
    </rPh>
    <phoneticPr fontId="3"/>
  </si>
  <si>
    <t>①</t>
    <phoneticPr fontId="20"/>
  </si>
  <si>
    <t>②</t>
    <phoneticPr fontId="3"/>
  </si>
  <si>
    <t>③</t>
    <phoneticPr fontId="3"/>
  </si>
  <si>
    <t>省エネ診断　補助対象経費内訳</t>
    <rPh sb="0" eb="1">
      <t>ショウ</t>
    </rPh>
    <rPh sb="3" eb="5">
      <t>シンダン</t>
    </rPh>
    <rPh sb="6" eb="12">
      <t>ホジョタイショウケイヒ</t>
    </rPh>
    <rPh sb="12" eb="14">
      <t>ウチワケ</t>
    </rPh>
    <phoneticPr fontId="3"/>
  </si>
  <si>
    <t>省エネ改修　補助対象経費内訳</t>
    <rPh sb="0" eb="1">
      <t>ショウ</t>
    </rPh>
    <rPh sb="3" eb="5">
      <t>カイシュウ</t>
    </rPh>
    <rPh sb="6" eb="12">
      <t>ホジョタイショウケイヒ</t>
    </rPh>
    <rPh sb="12" eb="14">
      <t>ウチワケ</t>
    </rPh>
    <phoneticPr fontId="3"/>
  </si>
  <si>
    <t>性能区分
（開口部
P～Z）
（断熱材A-1～F）</t>
    <rPh sb="0" eb="2">
      <t>セイノウ</t>
    </rPh>
    <rPh sb="2" eb="4">
      <t>クブン</t>
    </rPh>
    <rPh sb="6" eb="9">
      <t>カイコウブ</t>
    </rPh>
    <rPh sb="16" eb="19">
      <t>ダンネツザイ</t>
    </rPh>
    <phoneticPr fontId="3"/>
  </si>
  <si>
    <t>A</t>
  </si>
  <si>
    <t>Ａ．断熱性能に関する改修工事</t>
    <rPh sb="2" eb="4">
      <t>ダンネツ</t>
    </rPh>
    <rPh sb="4" eb="5">
      <t>セイ</t>
    </rPh>
    <rPh sb="5" eb="6">
      <t>ノウ</t>
    </rPh>
    <rPh sb="7" eb="8">
      <t>カン</t>
    </rPh>
    <rPh sb="10" eb="12">
      <t>カイシュウ</t>
    </rPh>
    <rPh sb="12" eb="14">
      <t>コウジ</t>
    </rPh>
    <phoneticPr fontId="3"/>
  </si>
  <si>
    <t>全体改修を行い、BLES等の認証を取得する場合に限り、A・B以外の省エネ改修に要した費用についても補助対象とすることができます。</t>
    <rPh sb="0" eb="4">
      <t>ゼンタイカイシュウ</t>
    </rPh>
    <rPh sb="5" eb="6">
      <t>オコナ</t>
    </rPh>
    <rPh sb="12" eb="13">
      <t>トウ</t>
    </rPh>
    <rPh sb="14" eb="16">
      <t>ニンショウ</t>
    </rPh>
    <rPh sb="17" eb="19">
      <t>シュトク</t>
    </rPh>
    <rPh sb="21" eb="23">
      <t>バアイ</t>
    </rPh>
    <rPh sb="24" eb="25">
      <t>カギ</t>
    </rPh>
    <rPh sb="30" eb="32">
      <t>イガイ</t>
    </rPh>
    <rPh sb="33" eb="34">
      <t>ショウ</t>
    </rPh>
    <rPh sb="36" eb="38">
      <t>カイシュウ</t>
    </rPh>
    <rPh sb="39" eb="40">
      <t>ヨウ</t>
    </rPh>
    <rPh sb="42" eb="44">
      <t>ヒヨウ</t>
    </rPh>
    <rPh sb="49" eb="53">
      <t>ホジョタイショウ</t>
    </rPh>
    <phoneticPr fontId="3"/>
  </si>
  <si>
    <t>省エネ改修　補助申請額算定</t>
    <rPh sb="0" eb="1">
      <t>ショウ</t>
    </rPh>
    <rPh sb="3" eb="5">
      <t>カイシュウ</t>
    </rPh>
    <rPh sb="6" eb="8">
      <t>ホジョ</t>
    </rPh>
    <rPh sb="8" eb="11">
      <t>シンセイガク</t>
    </rPh>
    <rPh sb="11" eb="13">
      <t>サンテイ</t>
    </rPh>
    <phoneticPr fontId="3"/>
  </si>
  <si>
    <t>補助申請額算定書</t>
    <rPh sb="0" eb="2">
      <t>ホジョ</t>
    </rPh>
    <rPh sb="2" eb="4">
      <t>シンセイ</t>
    </rPh>
    <rPh sb="4" eb="5">
      <t>ガク</t>
    </rPh>
    <rPh sb="5" eb="7">
      <t>サンテイ</t>
    </rPh>
    <rPh sb="7" eb="8">
      <t>ショ</t>
    </rPh>
    <phoneticPr fontId="3"/>
  </si>
  <si>
    <t>補助対象経費内訳書</t>
    <rPh sb="0" eb="4">
      <t>ホジョタイショウ</t>
    </rPh>
    <rPh sb="4" eb="6">
      <t>ケイヒ</t>
    </rPh>
    <rPh sb="6" eb="9">
      <t>ウチワケショ</t>
    </rPh>
    <phoneticPr fontId="3"/>
  </si>
  <si>
    <t>余白</t>
    <rPh sb="0" eb="2">
      <t>ヨハク</t>
    </rPh>
    <phoneticPr fontId="3"/>
  </si>
  <si>
    <t>仕様</t>
    <rPh sb="0" eb="2">
      <t>シヨウ</t>
    </rPh>
    <phoneticPr fontId="3"/>
  </si>
  <si>
    <t>単位</t>
    <rPh sb="0" eb="2">
      <t>タンイ</t>
    </rPh>
    <phoneticPr fontId="3"/>
  </si>
  <si>
    <t>単価</t>
    <rPh sb="0" eb="2">
      <t>タンカ</t>
    </rPh>
    <phoneticPr fontId="3"/>
  </si>
  <si>
    <t>金額</t>
    <rPh sb="0" eb="2">
      <t>キンガク</t>
    </rPh>
    <phoneticPr fontId="3"/>
  </si>
  <si>
    <t>直接工事費　計</t>
    <rPh sb="0" eb="5">
      <t>チョクセツコウジヒ</t>
    </rPh>
    <rPh sb="6" eb="7">
      <t>ケイ</t>
    </rPh>
    <phoneticPr fontId="3"/>
  </si>
  <si>
    <t>諸経費</t>
    <rPh sb="0" eb="3">
      <t>ショケイヒ</t>
    </rPh>
    <phoneticPr fontId="3"/>
  </si>
  <si>
    <t>小計</t>
    <rPh sb="0" eb="2">
      <t>ショウケイ</t>
    </rPh>
    <phoneticPr fontId="3"/>
  </si>
  <si>
    <t>消費税</t>
    <rPh sb="0" eb="3">
      <t>ショウヒゼイ</t>
    </rPh>
    <phoneticPr fontId="3"/>
  </si>
  <si>
    <t>１　窓改修工事</t>
    <rPh sb="2" eb="7">
      <t>マドカイシュウコウジ</t>
    </rPh>
    <phoneticPr fontId="3"/>
  </si>
  <si>
    <t>　１階居間</t>
    <rPh sb="2" eb="3">
      <t>カイ</t>
    </rPh>
    <rPh sb="3" eb="5">
      <t>イマ</t>
    </rPh>
    <phoneticPr fontId="3"/>
  </si>
  <si>
    <t>　　内窓設置</t>
    <rPh sb="2" eb="4">
      <t>ウチマド</t>
    </rPh>
    <rPh sb="4" eb="6">
      <t>セッチ</t>
    </rPh>
    <phoneticPr fontId="3"/>
  </si>
  <si>
    <t>　　同上　取り合い補修</t>
    <rPh sb="2" eb="4">
      <t>ドウジョウ</t>
    </rPh>
    <rPh sb="5" eb="6">
      <t>ト</t>
    </rPh>
    <rPh sb="7" eb="8">
      <t>ア</t>
    </rPh>
    <rPh sb="9" eb="11">
      <t>ホシュウ</t>
    </rPh>
    <phoneticPr fontId="3"/>
  </si>
  <si>
    <t>　　窓交換</t>
    <rPh sb="2" eb="3">
      <t>マド</t>
    </rPh>
    <rPh sb="3" eb="5">
      <t>コウカン</t>
    </rPh>
    <phoneticPr fontId="3"/>
  </si>
  <si>
    <t>　　既存窓撤去</t>
    <rPh sb="2" eb="4">
      <t>キゾン</t>
    </rPh>
    <rPh sb="4" eb="5">
      <t>マド</t>
    </rPh>
    <rPh sb="5" eb="7">
      <t>テッキョ</t>
    </rPh>
    <phoneticPr fontId="3"/>
  </si>
  <si>
    <t>　　取り合い補修</t>
    <rPh sb="2" eb="3">
      <t>ト</t>
    </rPh>
    <rPh sb="4" eb="5">
      <t>ア</t>
    </rPh>
    <rPh sb="6" eb="8">
      <t>ホシュウ</t>
    </rPh>
    <phoneticPr fontId="3"/>
  </si>
  <si>
    <t>２　断熱改修工事</t>
    <rPh sb="2" eb="6">
      <t>ダンネツカイシュウ</t>
    </rPh>
    <rPh sb="6" eb="8">
      <t>コウジ</t>
    </rPh>
    <phoneticPr fontId="3"/>
  </si>
  <si>
    <t>W1.65×H1.1 3-A16-LowE3</t>
    <phoneticPr fontId="3"/>
  </si>
  <si>
    <t>W1.65×H1.1 4-A16-LowE3</t>
    <phoneticPr fontId="3"/>
  </si>
  <si>
    <t>か所</t>
    <rPh sb="1" eb="2">
      <t>ショ</t>
    </rPh>
    <phoneticPr fontId="3"/>
  </si>
  <si>
    <t>1.82㎡/か所</t>
    <rPh sb="7" eb="8">
      <t>ショ</t>
    </rPh>
    <phoneticPr fontId="3"/>
  </si>
  <si>
    <t>3.2m3</t>
    <phoneticPr fontId="3"/>
  </si>
  <si>
    <t>　　カーテン取り付け</t>
    <rPh sb="6" eb="7">
      <t>ト</t>
    </rPh>
    <rPh sb="8" eb="9">
      <t>ツ</t>
    </rPh>
    <phoneticPr fontId="3"/>
  </si>
  <si>
    <t>○○　様邸　改修工事　見積書</t>
    <rPh sb="3" eb="4">
      <t>サマ</t>
    </rPh>
    <rPh sb="4" eb="5">
      <t>テイ</t>
    </rPh>
    <rPh sb="6" eb="8">
      <t>カイシュウ</t>
    </rPh>
    <rPh sb="8" eb="10">
      <t>コウジ</t>
    </rPh>
    <rPh sb="11" eb="14">
      <t>ミツモリショ</t>
    </rPh>
    <phoneticPr fontId="3"/>
  </si>
  <si>
    <t>％</t>
    <phoneticPr fontId="3"/>
  </si>
  <si>
    <t>【実際の工事費算定例】</t>
    <rPh sb="1" eb="3">
      <t>ジッサイ</t>
    </rPh>
    <rPh sb="4" eb="7">
      <t>コウジヒ</t>
    </rPh>
    <rPh sb="7" eb="10">
      <t>サンテイレイ</t>
    </rPh>
    <phoneticPr fontId="3"/>
  </si>
  <si>
    <t>➀【割増率の算定】</t>
    <rPh sb="2" eb="4">
      <t>ワリマシ</t>
    </rPh>
    <rPh sb="4" eb="5">
      <t>リツ</t>
    </rPh>
    <rPh sb="6" eb="8">
      <t>サンテイ</t>
    </rPh>
    <phoneticPr fontId="3"/>
  </si>
  <si>
    <t>②【各項目の実際の工事費算出】</t>
    <rPh sb="2" eb="3">
      <t>カク</t>
    </rPh>
    <rPh sb="3" eb="5">
      <t>コウモク</t>
    </rPh>
    <rPh sb="6" eb="8">
      <t>ジッサイ</t>
    </rPh>
    <rPh sb="9" eb="12">
      <t>コウジヒ</t>
    </rPh>
    <rPh sb="12" eb="14">
      <t>サンシュツ</t>
    </rPh>
    <phoneticPr fontId="3"/>
  </si>
  <si>
    <t>・</t>
    <phoneticPr fontId="3"/>
  </si>
  <si>
    <t>【注意事項】
※１　モデル工事費は複数の見積等により適正水準であることが確認できること。
※２　Ｂの合計額はＡの合計額と同額以下（Ｂ＞Ａの場合、Ａ×２）
※３　④～⑥ ： 千円未満切り捨て</t>
    <rPh sb="1" eb="5">
      <t>チュウイジコウ</t>
    </rPh>
    <rPh sb="13" eb="16">
      <t>コウジヒ</t>
    </rPh>
    <rPh sb="17" eb="19">
      <t>フクスウ</t>
    </rPh>
    <rPh sb="20" eb="22">
      <t>ミツモリ</t>
    </rPh>
    <rPh sb="22" eb="23">
      <t>トウ</t>
    </rPh>
    <rPh sb="26" eb="28">
      <t>テキセイ</t>
    </rPh>
    <rPh sb="28" eb="30">
      <t>スイジュン</t>
    </rPh>
    <rPh sb="36" eb="38">
      <t>カクニン</t>
    </rPh>
    <rPh sb="69" eb="71">
      <t>バアイ</t>
    </rPh>
    <phoneticPr fontId="3"/>
  </si>
  <si>
    <t>円</t>
  </si>
  <si>
    <t>補助対象事業費(自動計算）</t>
    <rPh sb="0" eb="2">
      <t>ホジョ</t>
    </rPh>
    <rPh sb="2" eb="6">
      <t>タイショウジギョウ</t>
    </rPh>
    <rPh sb="6" eb="7">
      <t>ヒ</t>
    </rPh>
    <rPh sb="8" eb="12">
      <t>ジドウケイサン</t>
    </rPh>
    <phoneticPr fontId="3"/>
  </si>
  <si>
    <t>性能区分コード</t>
    <rPh sb="0" eb="2">
      <t>セイノウ</t>
    </rPh>
    <rPh sb="2" eb="4">
      <t>クブン</t>
    </rPh>
    <phoneticPr fontId="3"/>
  </si>
  <si>
    <t>1.1以下</t>
    <rPh sb="3" eb="5">
      <t>イカ</t>
    </rPh>
    <phoneticPr fontId="3"/>
  </si>
  <si>
    <t>1.1超
1.5以下</t>
    <rPh sb="3" eb="4">
      <t>チョウ</t>
    </rPh>
    <rPh sb="8" eb="10">
      <t>イカ</t>
    </rPh>
    <phoneticPr fontId="3"/>
  </si>
  <si>
    <t>1.5超
1.9以下</t>
    <rPh sb="3" eb="4">
      <t>チョウ</t>
    </rPh>
    <rPh sb="8" eb="10">
      <t>イカ</t>
    </rPh>
    <phoneticPr fontId="3"/>
  </si>
  <si>
    <t>1.9超
2.3以下</t>
    <rPh sb="3" eb="4">
      <t>チョウ</t>
    </rPh>
    <rPh sb="8" eb="10">
      <t>イカ</t>
    </rPh>
    <phoneticPr fontId="3"/>
  </si>
  <si>
    <t>2.3超
2.9以下</t>
    <rPh sb="3" eb="4">
      <t>チョウ</t>
    </rPh>
    <rPh sb="8" eb="10">
      <t>イカ</t>
    </rPh>
    <phoneticPr fontId="3"/>
  </si>
  <si>
    <t>2.9超
3.5以下</t>
    <rPh sb="3" eb="4">
      <t>チョウ</t>
    </rPh>
    <rPh sb="8" eb="10">
      <t>イカ</t>
    </rPh>
    <phoneticPr fontId="3"/>
  </si>
  <si>
    <t>3.5超
4.7以下</t>
    <rPh sb="3" eb="4">
      <t>チョウ</t>
    </rPh>
    <rPh sb="8" eb="10">
      <t>イカ</t>
    </rPh>
    <phoneticPr fontId="3"/>
  </si>
  <si>
    <t>0.52以下</t>
    <rPh sb="4" eb="6">
      <t>イカ</t>
    </rPh>
    <phoneticPr fontId="3"/>
  </si>
  <si>
    <t>0.65以下</t>
    <rPh sb="4" eb="6">
      <t>イカ</t>
    </rPh>
    <phoneticPr fontId="3"/>
  </si>
  <si>
    <t>断熱材の性能区分</t>
    <rPh sb="0" eb="3">
      <t>ダンネツザイ</t>
    </rPh>
    <rPh sb="4" eb="6">
      <t>セイノウ</t>
    </rPh>
    <rPh sb="6" eb="8">
      <t>クブン</t>
    </rPh>
    <phoneticPr fontId="3"/>
  </si>
  <si>
    <t>熱貫流率
［W/(㎡・K)］</t>
    <rPh sb="0" eb="4">
      <t>ネツカンリュウリツ</t>
    </rPh>
    <phoneticPr fontId="3"/>
  </si>
  <si>
    <t>日射熱取得率
［W/(㎡・K)］</t>
    <rPh sb="0" eb="3">
      <t>ニッシャネツ</t>
    </rPh>
    <rPh sb="3" eb="5">
      <t>シュトク</t>
    </rPh>
    <rPh sb="5" eb="6">
      <t>リツ</t>
    </rPh>
    <phoneticPr fontId="3"/>
  </si>
  <si>
    <t>熱伝導率
［W/(m・K)］</t>
    <rPh sb="0" eb="4">
      <t>ネツデンドウリツ</t>
    </rPh>
    <phoneticPr fontId="3"/>
  </si>
  <si>
    <t>0.052
～
0.051</t>
    <phoneticPr fontId="3"/>
  </si>
  <si>
    <t>0.050
～
0.046</t>
    <phoneticPr fontId="3"/>
  </si>
  <si>
    <t>0.045
～
0.041</t>
    <phoneticPr fontId="3"/>
  </si>
  <si>
    <t>0.040
～
0.035</t>
    <phoneticPr fontId="3"/>
  </si>
  <si>
    <t>0.034
～
0.029</t>
    <phoneticPr fontId="3"/>
  </si>
  <si>
    <t>0.028
～
0.029</t>
    <phoneticPr fontId="3"/>
  </si>
  <si>
    <t xml:space="preserve">
0.022以下</t>
    <rPh sb="7" eb="9">
      <t>イカ</t>
    </rPh>
    <phoneticPr fontId="3"/>
  </si>
  <si>
    <t>【断熱材に関する性能区分】</t>
    <rPh sb="1" eb="4">
      <t>ダンネツザイ</t>
    </rPh>
    <rPh sb="5" eb="6">
      <t>カン</t>
    </rPh>
    <rPh sb="8" eb="10">
      <t>セイノウ</t>
    </rPh>
    <rPh sb="10" eb="12">
      <t>クブン</t>
    </rPh>
    <phoneticPr fontId="3"/>
  </si>
  <si>
    <t>【開口部（ガラス・窓・ドア）に関する性能区分】</t>
    <rPh sb="1" eb="4">
      <t>カイコウブ</t>
    </rPh>
    <rPh sb="9" eb="10">
      <t>マド</t>
    </rPh>
    <rPh sb="15" eb="16">
      <t>カン</t>
    </rPh>
    <rPh sb="18" eb="22">
      <t>セイノウクブン</t>
    </rPh>
    <phoneticPr fontId="3"/>
  </si>
  <si>
    <t>補助対象外</t>
    <rPh sb="0" eb="2">
      <t>ホジョ</t>
    </rPh>
    <rPh sb="2" eb="5">
      <t>タイショウガイ</t>
    </rPh>
    <phoneticPr fontId="3"/>
  </si>
  <si>
    <t>③上記以外の室（居室及び非居室をいう）を断熱改修する場合</t>
    <rPh sb="1" eb="3">
      <t>ジョウキ</t>
    </rPh>
    <rPh sb="3" eb="5">
      <t>イガイ</t>
    </rPh>
    <rPh sb="8" eb="10">
      <t>キョシツ</t>
    </rPh>
    <rPh sb="10" eb="11">
      <t>オヨ</t>
    </rPh>
    <rPh sb="12" eb="13">
      <t>ヒ</t>
    </rPh>
    <rPh sb="13" eb="15">
      <t>キョシツ</t>
    </rPh>
    <rPh sb="20" eb="22">
      <t>ダンネツ</t>
    </rPh>
    <rPh sb="22" eb="24">
      <t>カイシュウ</t>
    </rPh>
    <rPh sb="26" eb="28">
      <t>バアイ</t>
    </rPh>
    <phoneticPr fontId="3"/>
  </si>
  <si>
    <t>　　壁断熱材</t>
    <rPh sb="2" eb="3">
      <t>カベ</t>
    </rPh>
    <rPh sb="3" eb="6">
      <t>ダンネツザイ</t>
    </rPh>
    <phoneticPr fontId="3"/>
  </si>
  <si>
    <t>　　壁材撤去</t>
    <rPh sb="2" eb="3">
      <t>カベ</t>
    </rPh>
    <rPh sb="3" eb="4">
      <t>ザイ</t>
    </rPh>
    <rPh sb="4" eb="6">
      <t>テッキョ</t>
    </rPh>
    <phoneticPr fontId="3"/>
  </si>
  <si>
    <t>　　壁材復旧</t>
    <rPh sb="2" eb="3">
      <t>カベ</t>
    </rPh>
    <rPh sb="3" eb="4">
      <t>ザイ</t>
    </rPh>
    <rPh sb="4" eb="6">
      <t>フッキュウ</t>
    </rPh>
    <phoneticPr fontId="3"/>
  </si>
  <si>
    <t>高性能グラスウール14㎏　ｱ80</t>
    <rPh sb="0" eb="3">
      <t>コウセイノウ</t>
    </rPh>
    <phoneticPr fontId="3"/>
  </si>
  <si>
    <t>石膏ボード　ｱ12.5　ビニルクロス貼り</t>
    <rPh sb="0" eb="2">
      <t>セッコウ</t>
    </rPh>
    <rPh sb="18" eb="19">
      <t>ハ</t>
    </rPh>
    <phoneticPr fontId="3"/>
  </si>
  <si>
    <t>室名・部位</t>
    <rPh sb="0" eb="2">
      <t>シツメイ</t>
    </rPh>
    <rPh sb="3" eb="5">
      <t>ブイ</t>
    </rPh>
    <phoneticPr fontId="20"/>
  </si>
  <si>
    <t>改修内容</t>
    <rPh sb="0" eb="2">
      <t>カイシュウ</t>
    </rPh>
    <rPh sb="2" eb="4">
      <t>ナイヨウ</t>
    </rPh>
    <phoneticPr fontId="20"/>
  </si>
  <si>
    <t>改修前・施工中・施工後・型番</t>
    <rPh sb="0" eb="3">
      <t>カイシュウマエ</t>
    </rPh>
    <rPh sb="4" eb="6">
      <t>セコウ</t>
    </rPh>
    <rPh sb="6" eb="7">
      <t>チュウ</t>
    </rPh>
    <rPh sb="8" eb="11">
      <t>セコウゴ</t>
    </rPh>
    <rPh sb="12" eb="14">
      <t>カタバン</t>
    </rPh>
    <phoneticPr fontId="20"/>
  </si>
  <si>
    <t>子育てエコホーム支援事業等に登録されている製品型番</t>
    <rPh sb="0" eb="2">
      <t>コソダ</t>
    </rPh>
    <rPh sb="12" eb="13">
      <t>トウ</t>
    </rPh>
    <rPh sb="14" eb="16">
      <t>トウロク</t>
    </rPh>
    <phoneticPr fontId="3"/>
  </si>
  <si>
    <t>補助金交付要綱別表２（う）に定める要件を満たす場合　最大200,000円</t>
    <rPh sb="0" eb="3">
      <t>ホジョキン</t>
    </rPh>
    <rPh sb="3" eb="7">
      <t>コウフヨウコウ</t>
    </rPh>
    <rPh sb="7" eb="9">
      <t>ベッピョウ</t>
    </rPh>
    <rPh sb="14" eb="15">
      <t>サダ</t>
    </rPh>
    <rPh sb="17" eb="19">
      <t>ヨウケン</t>
    </rPh>
    <rPh sb="20" eb="21">
      <t>ミ</t>
    </rPh>
    <rPh sb="26" eb="28">
      <t>サイダイ</t>
    </rPh>
    <phoneticPr fontId="3"/>
  </si>
  <si>
    <t>ウ　天井が外気に面している場合は、天井の断熱改修を行う。</t>
    <rPh sb="2" eb="4">
      <t>テンジョウ</t>
    </rPh>
    <rPh sb="5" eb="7">
      <t>ガイキ</t>
    </rPh>
    <rPh sb="8" eb="9">
      <t>メン</t>
    </rPh>
    <rPh sb="13" eb="15">
      <t>バアイ</t>
    </rPh>
    <rPh sb="17" eb="19">
      <t>テンジョウ</t>
    </rPh>
    <rPh sb="20" eb="22">
      <t>ダンネツ</t>
    </rPh>
    <rPh sb="22" eb="24">
      <t>カイシュウ</t>
    </rPh>
    <rPh sb="25" eb="26">
      <t>オコナ</t>
    </rPh>
    <phoneticPr fontId="3"/>
  </si>
  <si>
    <t>担当者による代理申請</t>
    <rPh sb="0" eb="3">
      <t>タントウシャ</t>
    </rPh>
    <rPh sb="6" eb="10">
      <t>ダイリシンセイ</t>
    </rPh>
    <phoneticPr fontId="3"/>
  </si>
  <si>
    <t>　　 有　　 無</t>
    <rPh sb="3" eb="4">
      <t>アリ</t>
    </rPh>
    <rPh sb="7" eb="8">
      <t>ナシ</t>
    </rPh>
    <phoneticPr fontId="3"/>
  </si>
  <si>
    <r>
      <t>コージェネレーション設備</t>
    </r>
    <r>
      <rPr>
        <vertAlign val="superscript"/>
        <sz val="11"/>
        <rFont val="ＭＳ Ｐ明朝"/>
        <family val="1"/>
        <charset val="128"/>
      </rPr>
      <t>※１</t>
    </r>
    <rPh sb="10" eb="12">
      <t>セツビ</t>
    </rPh>
    <phoneticPr fontId="3"/>
  </si>
  <si>
    <r>
      <t>LED照明</t>
    </r>
    <r>
      <rPr>
        <vertAlign val="superscript"/>
        <sz val="11"/>
        <rFont val="ＭＳ Ｐ明朝"/>
        <family val="1"/>
        <charset val="128"/>
      </rPr>
      <t>※１</t>
    </r>
    <rPh sb="3" eb="5">
      <t>ショウメイ</t>
    </rPh>
    <phoneticPr fontId="3"/>
  </si>
  <si>
    <r>
      <t>Ｂの合計額</t>
    </r>
    <r>
      <rPr>
        <vertAlign val="superscript"/>
        <sz val="11"/>
        <rFont val="ＭＳ Ｐ明朝"/>
        <family val="1"/>
        <charset val="128"/>
      </rPr>
      <t>※２</t>
    </r>
    <rPh sb="2" eb="5">
      <t>ゴウケイガク</t>
    </rPh>
    <phoneticPr fontId="3"/>
  </si>
  <si>
    <r>
      <t>補助申請基礎額（④）</t>
    </r>
    <r>
      <rPr>
        <vertAlign val="superscript"/>
        <sz val="11"/>
        <rFont val="ＭＳ Ｐ明朝"/>
        <family val="1"/>
        <charset val="128"/>
      </rPr>
      <t>※３</t>
    </r>
    <rPh sb="0" eb="2">
      <t>ホジョ</t>
    </rPh>
    <rPh sb="2" eb="4">
      <t>シンセイ</t>
    </rPh>
    <rPh sb="4" eb="6">
      <t>キソ</t>
    </rPh>
    <rPh sb="6" eb="7">
      <t>ガク</t>
    </rPh>
    <phoneticPr fontId="3"/>
  </si>
  <si>
    <r>
      <t>加算額（⑤）</t>
    </r>
    <r>
      <rPr>
        <vertAlign val="superscript"/>
        <sz val="11"/>
        <rFont val="ＭＳ Ｐ明朝"/>
        <family val="1"/>
        <charset val="128"/>
      </rPr>
      <t>※３</t>
    </r>
    <rPh sb="0" eb="3">
      <t>カサンガク</t>
    </rPh>
    <phoneticPr fontId="3"/>
  </si>
  <si>
    <r>
      <t>補助申請額（⑥）</t>
    </r>
    <r>
      <rPr>
        <vertAlign val="superscript"/>
        <sz val="11"/>
        <rFont val="ＭＳ Ｐ明朝"/>
        <family val="1"/>
        <charset val="128"/>
      </rPr>
      <t>※３</t>
    </r>
    <rPh sb="0" eb="2">
      <t>ホジョ</t>
    </rPh>
    <rPh sb="2" eb="5">
      <t>シンセイガク</t>
    </rPh>
    <phoneticPr fontId="3"/>
  </si>
  <si>
    <t>蓄電池</t>
    <rPh sb="0" eb="3">
      <t>チクデンチ</t>
    </rPh>
    <phoneticPr fontId="3"/>
  </si>
  <si>
    <t>-</t>
    <phoneticPr fontId="3"/>
  </si>
  <si>
    <t>計</t>
    <rPh sb="0" eb="1">
      <t>ケイ</t>
    </rPh>
    <phoneticPr fontId="3"/>
  </si>
  <si>
    <t>蓄電池</t>
    <rPh sb="0" eb="3">
      <t>チクデンチ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</si>
</sst>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quot;円&quot;"/>
    <numFmt numFmtId="177" formatCode="#,##0_);[Red]\(#,##0\)"/>
    <numFmt numFmtId="178" formatCode="0.0_);[Red]\(0.0\)"/>
    <numFmt numFmtId="179" formatCode="#,##0.0_);[Red]\(#,##0.0\)"/>
    <numFmt numFmtId="180" formatCode="0.0_ "/>
    <numFmt numFmtId="181" formatCode="#,##0.00_ "/>
    <numFmt numFmtId="182" formatCode="0.00\ &quot;㎡&quot;"/>
    <numFmt numFmtId="183" formatCode="[$-411]ggg\ e\ &quot;年&quot;\ m\ &quot;月&quot;\ d\ &quot;日&quot;"/>
    <numFmt numFmtId="184" formatCode="0_);[Red]\(0\)"/>
    <numFmt numFmtId="185" formatCode="0.0"/>
    <numFmt numFmtId="186" formatCode="[&lt;=999]000;[&lt;=9999]000\-00;000\-0000"/>
    <numFmt numFmtId="187" formatCode="&quot;=　&quot;0.00"/>
    <numFmt numFmtId="188" formatCode="[=0]0&quot;円&quot;;###,###,###&quot;円&quot;"/>
    <numFmt numFmtId="189" formatCode="#,##0_ "/>
    <numFmt numFmtId="190" formatCode="#,##0.0_ "/>
    <numFmt numFmtId="191" formatCode="\=\ 0.000"/>
    <numFmt numFmtId="192" formatCode="0.000"/>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明朝"/>
      <family val="1"/>
      <charset val="128"/>
    </font>
    <font>
      <sz val="12"/>
      <name val="ＭＳ Ｐ明朝"/>
      <family val="1"/>
      <charset val="128"/>
    </font>
    <font>
      <sz val="12"/>
      <name val="ＭＳ Ｐゴシック"/>
      <family val="3"/>
      <charset val="128"/>
    </font>
    <font>
      <sz val="11"/>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16"/>
      <name val="ＭＳ Ｐ明朝"/>
      <family val="1"/>
      <charset val="128"/>
    </font>
    <font>
      <b/>
      <sz val="16"/>
      <name val="ＭＳ Ｐ明朝"/>
      <family val="1"/>
      <charset val="128"/>
    </font>
    <font>
      <sz val="10"/>
      <name val="ＭＳ Ｐ明朝"/>
      <family val="1"/>
      <charset val="128"/>
    </font>
    <font>
      <sz val="10.5"/>
      <name val="ＭＳ Ｐ明朝"/>
      <family val="1"/>
      <charset val="128"/>
    </font>
    <font>
      <sz val="13"/>
      <name val="ＭＳ Ｐ明朝"/>
      <family val="1"/>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charset val="128"/>
      <scheme val="minor"/>
    </font>
    <font>
      <sz val="12"/>
      <color theme="1"/>
      <name val="ＭＳ Ｐゴシック"/>
      <family val="2"/>
      <scheme val="minor"/>
    </font>
    <font>
      <b/>
      <sz val="36"/>
      <name val="ＭＳ Ｐゴシック"/>
      <family val="3"/>
      <charset val="128"/>
      <scheme val="minor"/>
    </font>
    <font>
      <sz val="11"/>
      <name val="ＭＳ Ｐゴシック"/>
      <family val="2"/>
      <charset val="128"/>
      <scheme val="minor"/>
    </font>
    <font>
      <sz val="14"/>
      <name val="ＭＳ Ｐゴシック"/>
      <family val="3"/>
      <charset val="128"/>
      <scheme val="minor"/>
    </font>
    <font>
      <sz val="9"/>
      <name val="ＭＳ Ｐゴシック"/>
      <family val="3"/>
      <charset val="128"/>
      <scheme val="minor"/>
    </font>
    <font>
      <b/>
      <sz val="11"/>
      <name val="ＭＳ Ｐ明朝"/>
      <family val="1"/>
      <charset val="128"/>
    </font>
    <font>
      <vertAlign val="superscript"/>
      <sz val="11"/>
      <name val="ＭＳ Ｐ明朝"/>
      <family val="1"/>
      <charset val="128"/>
    </font>
    <font>
      <b/>
      <sz val="12"/>
      <name val="ＭＳ Ｐ明朝"/>
      <family val="1"/>
      <charset val="128"/>
    </font>
    <font>
      <sz val="1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8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dotted">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dotted">
        <color indexed="64"/>
      </right>
      <top style="thin">
        <color indexed="64"/>
      </top>
      <bottom/>
      <diagonal/>
    </border>
    <border>
      <left/>
      <right style="dotted">
        <color indexed="64"/>
      </right>
      <top style="double">
        <color indexed="64"/>
      </top>
      <bottom style="thin">
        <color indexed="64"/>
      </bottom>
      <diagonal/>
    </border>
    <border>
      <left/>
      <right style="dotted">
        <color indexed="64"/>
      </right>
      <top style="thin">
        <color indexed="64"/>
      </top>
      <bottom style="double">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auto="1"/>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style="medium">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xf numFmtId="0" fontId="9" fillId="0" borderId="0"/>
    <xf numFmtId="38" fontId="16" fillId="0" borderId="0" applyFont="0" applyFill="0" applyBorder="0" applyAlignment="0" applyProtection="0">
      <alignment vertical="center"/>
    </xf>
    <xf numFmtId="0" fontId="1" fillId="0" borderId="0">
      <alignment vertical="center"/>
    </xf>
  </cellStyleXfs>
  <cellXfs count="606">
    <xf numFmtId="0" fontId="0" fillId="0" borderId="0" xfId="0"/>
    <xf numFmtId="0" fontId="5" fillId="0" borderId="0" xfId="1" applyFont="1" applyAlignme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1" xfId="1" applyFont="1" applyBorder="1" applyAlignment="1">
      <alignment horizontal="center" vertical="center"/>
    </xf>
    <xf numFmtId="0" fontId="5" fillId="0" borderId="25" xfId="1" applyFont="1" applyBorder="1" applyAlignment="1">
      <alignment horizontal="center" vertical="center"/>
    </xf>
    <xf numFmtId="0" fontId="5" fillId="0" borderId="27"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180" fontId="5" fillId="0" borderId="2" xfId="1" applyNumberFormat="1" applyFont="1" applyBorder="1" applyAlignment="1">
      <alignment vertical="center"/>
    </xf>
    <xf numFmtId="0" fontId="11" fillId="0" borderId="39" xfId="1" applyFont="1" applyBorder="1" applyAlignment="1">
      <alignment horizontal="center" vertical="center"/>
    </xf>
    <xf numFmtId="177" fontId="11" fillId="0" borderId="40" xfId="1" applyNumberFormat="1" applyFont="1" applyBorder="1" applyAlignment="1">
      <alignment vertical="center" shrinkToFit="1"/>
    </xf>
    <xf numFmtId="178" fontId="11" fillId="0" borderId="38" xfId="1" applyNumberFormat="1" applyFont="1" applyBorder="1" applyAlignment="1">
      <alignment vertical="center" shrinkToFit="1"/>
    </xf>
    <xf numFmtId="182" fontId="11" fillId="0" borderId="39" xfId="1" applyNumberFormat="1" applyFont="1" applyBorder="1" applyAlignment="1">
      <alignment vertical="center" shrinkToFit="1"/>
    </xf>
    <xf numFmtId="0" fontId="5" fillId="0" borderId="0" xfId="1" applyFont="1" applyBorder="1" applyAlignment="1">
      <alignment vertical="center"/>
    </xf>
    <xf numFmtId="180" fontId="13" fillId="0" borderId="2" xfId="1" applyNumberFormat="1" applyFont="1" applyBorder="1" applyAlignment="1">
      <alignment vertical="center"/>
    </xf>
    <xf numFmtId="0" fontId="13" fillId="0" borderId="2" xfId="1" applyFont="1" applyBorder="1" applyAlignment="1">
      <alignment horizontal="center" vertical="center"/>
    </xf>
    <xf numFmtId="0" fontId="5" fillId="0" borderId="0" xfId="0" applyFont="1" applyFill="1"/>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quotePrefix="1" applyFont="1" applyFill="1" applyAlignment="1">
      <alignment horizontal="center" vertical="center"/>
    </xf>
    <xf numFmtId="0" fontId="7" fillId="0" borderId="0" xfId="0" applyFont="1" applyAlignment="1">
      <alignment horizontal="center" vertical="center"/>
    </xf>
    <xf numFmtId="0" fontId="7" fillId="0" borderId="0" xfId="0" applyFont="1"/>
    <xf numFmtId="0" fontId="5" fillId="0" borderId="20" xfId="0" quotePrefix="1"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5" fillId="0" borderId="2" xfId="0" quotePrefix="1" applyFont="1" applyFill="1" applyBorder="1" applyAlignment="1">
      <alignment horizontal="center" vertical="center"/>
    </xf>
    <xf numFmtId="0" fontId="7" fillId="0" borderId="20" xfId="0" applyFont="1" applyBorder="1" applyAlignment="1">
      <alignment horizontal="center" vertical="center"/>
    </xf>
    <xf numFmtId="177" fontId="7" fillId="0" borderId="2" xfId="0" applyNumberFormat="1" applyFont="1" applyBorder="1" applyAlignment="1">
      <alignment horizontal="center" vertical="center" shrinkToFit="1"/>
    </xf>
    <xf numFmtId="179" fontId="7" fillId="0" borderId="21" xfId="0" applyNumberFormat="1" applyFont="1" applyBorder="1" applyAlignment="1">
      <alignment horizontal="right" vertical="center" shrinkToFit="1"/>
    </xf>
    <xf numFmtId="179" fontId="7" fillId="0" borderId="22" xfId="0" applyNumberFormat="1" applyFont="1" applyBorder="1" applyAlignment="1">
      <alignment horizontal="right" vertical="center" shrinkToFit="1"/>
    </xf>
    <xf numFmtId="179" fontId="7" fillId="0" borderId="23" xfId="0" applyNumberFormat="1" applyFont="1" applyBorder="1" applyAlignment="1">
      <alignment horizontal="right"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177" fontId="7" fillId="0" borderId="6" xfId="0" applyNumberFormat="1" applyFont="1" applyBorder="1" applyAlignment="1">
      <alignment horizontal="center" vertical="center" shrinkToFit="1"/>
    </xf>
    <xf numFmtId="179" fontId="7" fillId="0" borderId="32" xfId="0" applyNumberFormat="1" applyFont="1" applyBorder="1" applyAlignment="1">
      <alignment horizontal="right" vertical="center" shrinkToFit="1"/>
    </xf>
    <xf numFmtId="179" fontId="7" fillId="0" borderId="33" xfId="0" applyNumberFormat="1" applyFont="1" applyBorder="1" applyAlignment="1">
      <alignment horizontal="right" vertical="center" shrinkToFit="1"/>
    </xf>
    <xf numFmtId="179" fontId="7" fillId="0" borderId="34" xfId="0" applyNumberFormat="1" applyFont="1" applyBorder="1" applyAlignment="1">
      <alignment horizontal="right"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77" fontId="7" fillId="0" borderId="17" xfId="0" applyNumberFormat="1" applyFont="1" applyBorder="1" applyAlignment="1">
      <alignment horizontal="center" vertical="center" shrinkToFit="1"/>
    </xf>
    <xf numFmtId="179" fontId="7" fillId="0" borderId="35" xfId="0" applyNumberFormat="1" applyFont="1" applyBorder="1" applyAlignment="1">
      <alignment horizontal="right" vertical="center" shrinkToFit="1"/>
    </xf>
    <xf numFmtId="179" fontId="7" fillId="0" borderId="36" xfId="0" applyNumberFormat="1" applyFont="1" applyBorder="1" applyAlignment="1">
      <alignment horizontal="right" vertical="center" shrinkToFit="1"/>
    </xf>
    <xf numFmtId="179" fontId="7" fillId="0" borderId="37" xfId="0" applyNumberFormat="1" applyFont="1" applyBorder="1" applyAlignment="1">
      <alignment horizontal="right" vertical="center" shrinkToFit="1"/>
    </xf>
    <xf numFmtId="177" fontId="7" fillId="0" borderId="18" xfId="0" applyNumberFormat="1" applyFont="1" applyBorder="1" applyAlignment="1">
      <alignment horizontal="center" vertical="center" shrinkToFit="1"/>
    </xf>
    <xf numFmtId="179" fontId="7" fillId="0" borderId="28" xfId="0" applyNumberFormat="1" applyFont="1" applyBorder="1" applyAlignment="1">
      <alignment horizontal="right" vertical="center" shrinkToFit="1"/>
    </xf>
    <xf numFmtId="179" fontId="7" fillId="0" borderId="29" xfId="0" applyNumberFormat="1" applyFont="1" applyBorder="1" applyAlignment="1">
      <alignment horizontal="right" vertical="center" shrinkToFit="1"/>
    </xf>
    <xf numFmtId="179" fontId="7" fillId="0" borderId="31" xfId="0" applyNumberFormat="1" applyFont="1" applyBorder="1" applyAlignment="1">
      <alignment horizontal="right" vertical="center" shrinkToFit="1"/>
    </xf>
    <xf numFmtId="177" fontId="7" fillId="0" borderId="7" xfId="0" applyNumberFormat="1" applyFont="1" applyBorder="1" applyAlignment="1">
      <alignment horizontal="center" vertical="center" shrinkToFit="1"/>
    </xf>
    <xf numFmtId="179" fontId="7" fillId="0" borderId="24" xfId="0" applyNumberFormat="1" applyFont="1" applyBorder="1" applyAlignment="1">
      <alignment horizontal="right" vertical="center" shrinkToFit="1"/>
    </xf>
    <xf numFmtId="179" fontId="7" fillId="0" borderId="25" xfId="0" applyNumberFormat="1" applyFont="1" applyBorder="1" applyAlignment="1">
      <alignment horizontal="right" vertical="center" shrinkToFit="1"/>
    </xf>
    <xf numFmtId="179" fontId="7" fillId="0" borderId="27" xfId="0" applyNumberFormat="1" applyFont="1" applyBorder="1" applyAlignment="1">
      <alignment horizontal="right" vertical="center" shrinkToFit="1"/>
    </xf>
    <xf numFmtId="0" fontId="5" fillId="0" borderId="22" xfId="0" applyFont="1" applyFill="1" applyBorder="1" applyAlignment="1">
      <alignment horizontal="center"/>
    </xf>
    <xf numFmtId="0" fontId="5" fillId="0" borderId="23" xfId="0" applyFont="1" applyFill="1" applyBorder="1" applyAlignment="1">
      <alignment horizontal="center"/>
    </xf>
    <xf numFmtId="0" fontId="7" fillId="0" borderId="0" xfId="0" applyFont="1" applyBorder="1" applyAlignment="1">
      <alignment horizontal="center" vertical="center"/>
    </xf>
    <xf numFmtId="0" fontId="7" fillId="0" borderId="21" xfId="0" applyFont="1" applyBorder="1" applyAlignment="1">
      <alignment shrinkToFit="1"/>
    </xf>
    <xf numFmtId="0" fontId="7" fillId="0" borderId="22" xfId="0" applyFont="1" applyBorder="1" applyAlignment="1">
      <alignment shrinkToFit="1"/>
    </xf>
    <xf numFmtId="0" fontId="7" fillId="0" borderId="23" xfId="0" applyFont="1" applyBorder="1" applyAlignment="1">
      <alignment shrinkToFit="1"/>
    </xf>
    <xf numFmtId="0" fontId="7" fillId="0" borderId="33" xfId="0" applyFont="1" applyBorder="1" applyAlignment="1">
      <alignment shrinkToFit="1"/>
    </xf>
    <xf numFmtId="0" fontId="7" fillId="0" borderId="34" xfId="0" applyFont="1" applyBorder="1" applyAlignment="1">
      <alignment shrinkToFit="1"/>
    </xf>
    <xf numFmtId="0" fontId="5" fillId="0" borderId="43" xfId="0" applyFont="1" applyFill="1" applyBorder="1" applyAlignment="1">
      <alignment horizontal="center"/>
    </xf>
    <xf numFmtId="0" fontId="7" fillId="0" borderId="43" xfId="0" applyFont="1" applyBorder="1" applyAlignment="1">
      <alignment shrinkToFit="1"/>
    </xf>
    <xf numFmtId="0" fontId="5" fillId="0" borderId="0" xfId="0" applyFont="1" applyFill="1" applyBorder="1" applyAlignment="1">
      <alignment vertical="center" shrinkToFit="1"/>
    </xf>
    <xf numFmtId="0" fontId="11" fillId="0" borderId="0" xfId="1" applyFont="1" applyBorder="1" applyAlignment="1">
      <alignment vertical="center"/>
    </xf>
    <xf numFmtId="0" fontId="11" fillId="0" borderId="13" xfId="1" applyFont="1" applyBorder="1" applyAlignment="1">
      <alignment vertical="center"/>
    </xf>
    <xf numFmtId="0" fontId="7" fillId="0" borderId="4" xfId="0" applyFont="1" applyBorder="1" applyAlignment="1">
      <alignment horizontal="center" vertical="center"/>
    </xf>
    <xf numFmtId="0" fontId="7" fillId="0" borderId="46" xfId="0" applyFont="1" applyBorder="1" applyAlignment="1">
      <alignment shrinkToFit="1"/>
    </xf>
    <xf numFmtId="0" fontId="5" fillId="0" borderId="43" xfId="0" quotePrefix="1" applyFont="1" applyFill="1" applyBorder="1" applyAlignment="1">
      <alignment horizontal="center" vertical="center"/>
    </xf>
    <xf numFmtId="179" fontId="7" fillId="0" borderId="43" xfId="0" applyNumberFormat="1" applyFont="1" applyBorder="1" applyAlignment="1">
      <alignment horizontal="right" vertical="center" shrinkToFit="1"/>
    </xf>
    <xf numFmtId="179" fontId="7" fillId="0" borderId="46" xfId="0" applyNumberFormat="1" applyFont="1" applyBorder="1" applyAlignment="1">
      <alignment horizontal="right" vertical="center" shrinkToFit="1"/>
    </xf>
    <xf numFmtId="179" fontId="7" fillId="0" borderId="47" xfId="0" applyNumberFormat="1" applyFont="1" applyBorder="1" applyAlignment="1">
      <alignment horizontal="right" vertical="center" shrinkToFit="1"/>
    </xf>
    <xf numFmtId="179" fontId="7" fillId="0" borderId="48" xfId="0" applyNumberFormat="1" applyFont="1" applyBorder="1" applyAlignment="1">
      <alignment horizontal="right" vertical="center" shrinkToFit="1"/>
    </xf>
    <xf numFmtId="179" fontId="7" fillId="0" borderId="49" xfId="0" applyNumberFormat="1" applyFont="1" applyBorder="1" applyAlignment="1">
      <alignment horizontal="right" vertical="center" shrinkToFit="1"/>
    </xf>
    <xf numFmtId="0" fontId="7" fillId="0" borderId="0" xfId="0" applyFont="1" applyAlignment="1">
      <alignment vertical="center"/>
    </xf>
    <xf numFmtId="0" fontId="5" fillId="0" borderId="21" xfId="0" applyFont="1" applyFill="1" applyBorder="1" applyAlignment="1">
      <alignment horizont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32" xfId="0" applyFont="1" applyBorder="1" applyAlignment="1">
      <alignment shrinkToFit="1"/>
    </xf>
    <xf numFmtId="179" fontId="7" fillId="0" borderId="21" xfId="0" applyNumberFormat="1" applyFont="1" applyBorder="1" applyAlignment="1">
      <alignment horizontal="center" vertical="center" shrinkToFit="1"/>
    </xf>
    <xf numFmtId="179" fontId="7" fillId="0" borderId="4" xfId="0" applyNumberFormat="1" applyFont="1" applyBorder="1" applyAlignment="1">
      <alignment horizontal="right" vertical="center" shrinkToFit="1"/>
    </xf>
    <xf numFmtId="179" fontId="7" fillId="0" borderId="32" xfId="0" applyNumberFormat="1" applyFont="1" applyBorder="1" applyAlignment="1">
      <alignment horizontal="center" vertical="center" shrinkToFit="1"/>
    </xf>
    <xf numFmtId="179" fontId="7" fillId="0" borderId="8" xfId="0" applyNumberFormat="1" applyFont="1" applyBorder="1" applyAlignment="1">
      <alignment horizontal="right" vertical="center" shrinkToFit="1"/>
    </xf>
    <xf numFmtId="179" fontId="7" fillId="0" borderId="35" xfId="0" applyNumberFormat="1" applyFont="1" applyBorder="1" applyAlignment="1">
      <alignment horizontal="center" vertical="center" shrinkToFit="1"/>
    </xf>
    <xf numFmtId="179" fontId="7" fillId="0" borderId="44" xfId="0" applyNumberFormat="1" applyFont="1" applyBorder="1" applyAlignment="1">
      <alignment horizontal="right" vertical="center" shrinkToFit="1"/>
    </xf>
    <xf numFmtId="0" fontId="5" fillId="0" borderId="19" xfId="1" applyFont="1" applyBorder="1" applyAlignment="1">
      <alignment horizontal="center" vertical="center"/>
    </xf>
    <xf numFmtId="179" fontId="7" fillId="0" borderId="28" xfId="0" applyNumberFormat="1" applyFont="1" applyBorder="1" applyAlignment="1">
      <alignment horizontal="center" vertical="center" shrinkToFit="1"/>
    </xf>
    <xf numFmtId="179" fontId="7" fillId="0" borderId="45" xfId="0" applyNumberFormat="1" applyFont="1" applyBorder="1" applyAlignment="1">
      <alignment horizontal="right" vertical="center" shrinkToFit="1"/>
    </xf>
    <xf numFmtId="0" fontId="5" fillId="0" borderId="12" xfId="1" applyFont="1" applyBorder="1" applyAlignment="1">
      <alignment horizontal="center" vertical="center"/>
    </xf>
    <xf numFmtId="179" fontId="7" fillId="0" borderId="1" xfId="0" applyNumberFormat="1" applyFont="1" applyBorder="1" applyAlignment="1">
      <alignment horizontal="right" vertical="center" shrinkToFit="1"/>
    </xf>
    <xf numFmtId="0" fontId="5" fillId="0" borderId="18" xfId="1" applyFont="1" applyBorder="1" applyAlignment="1">
      <alignment horizontal="center" vertical="center"/>
    </xf>
    <xf numFmtId="179" fontId="7" fillId="0" borderId="24" xfId="0" applyNumberFormat="1" applyFont="1" applyBorder="1" applyAlignment="1">
      <alignment horizontal="center" vertical="center" shrinkToFit="1"/>
    </xf>
    <xf numFmtId="0" fontId="7" fillId="0" borderId="2" xfId="0" applyFont="1" applyBorder="1" applyAlignment="1">
      <alignment vertical="center"/>
    </xf>
    <xf numFmtId="0" fontId="7" fillId="2" borderId="13"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0" fontId="17" fillId="0" borderId="0" xfId="0" applyFont="1" applyAlignment="1" applyProtection="1">
      <alignment vertical="center"/>
    </xf>
    <xf numFmtId="0" fontId="17" fillId="0" borderId="2" xfId="0" applyFont="1" applyBorder="1" applyAlignment="1" applyProtection="1">
      <alignment vertical="center"/>
    </xf>
    <xf numFmtId="0" fontId="18" fillId="0" borderId="2" xfId="0" applyFont="1" applyBorder="1" applyAlignment="1" applyProtection="1">
      <alignment horizontal="left" vertical="center"/>
    </xf>
    <xf numFmtId="0" fontId="18" fillId="0" borderId="2" xfId="0" applyFont="1" applyBorder="1" applyAlignment="1" applyProtection="1">
      <alignment vertical="center"/>
      <protection locked="0"/>
    </xf>
    <xf numFmtId="0" fontId="18" fillId="0" borderId="2" xfId="0" applyFont="1" applyBorder="1" applyAlignment="1" applyProtection="1">
      <alignment horizontal="center" vertical="center"/>
    </xf>
    <xf numFmtId="0" fontId="18" fillId="0" borderId="2" xfId="0" applyFont="1" applyBorder="1" applyAlignment="1" applyProtection="1">
      <alignment vertical="center" shrinkToFit="1"/>
    </xf>
    <xf numFmtId="0" fontId="7" fillId="0" borderId="5" xfId="0" applyFont="1" applyBorder="1" applyAlignment="1">
      <alignment horizontal="center" vertical="center"/>
    </xf>
    <xf numFmtId="0" fontId="5" fillId="0" borderId="4" xfId="0" quotePrefix="1"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2" xfId="0" quotePrefix="1" applyFont="1" applyFill="1" applyBorder="1" applyAlignment="1">
      <alignment horizontal="center" vertical="center"/>
    </xf>
    <xf numFmtId="0" fontId="5" fillId="0" borderId="23" xfId="0" quotePrefix="1" applyFont="1" applyFill="1" applyBorder="1" applyAlignment="1">
      <alignment horizontal="center" vertical="center"/>
    </xf>
    <xf numFmtId="0" fontId="5" fillId="0" borderId="2" xfId="1" applyFont="1" applyBorder="1" applyAlignment="1">
      <alignment horizontal="center" vertical="center" shrinkToFit="1"/>
    </xf>
    <xf numFmtId="0" fontId="5" fillId="0" borderId="5" xfId="1" applyFont="1" applyBorder="1" applyAlignment="1">
      <alignment horizontal="center" vertical="center"/>
    </xf>
    <xf numFmtId="0" fontId="5" fillId="0" borderId="5" xfId="0" applyFont="1" applyFill="1" applyBorder="1" applyAlignment="1">
      <alignment horizontal="center" vertical="center"/>
    </xf>
    <xf numFmtId="0" fontId="7" fillId="0" borderId="2" xfId="0" applyFont="1" applyBorder="1" applyAlignment="1">
      <alignment horizontal="center" vertical="center"/>
    </xf>
    <xf numFmtId="38" fontId="17" fillId="0" borderId="2" xfId="2" applyFont="1" applyBorder="1" applyAlignment="1" applyProtection="1">
      <alignment vertical="center"/>
    </xf>
    <xf numFmtId="38" fontId="7" fillId="0" borderId="2" xfId="2" applyFont="1" applyBorder="1" applyAlignment="1">
      <alignment vertical="center"/>
    </xf>
    <xf numFmtId="177" fontId="5" fillId="0" borderId="0" xfId="0" applyNumberFormat="1" applyFont="1" applyBorder="1" applyAlignment="1">
      <alignment vertical="center"/>
    </xf>
    <xf numFmtId="0" fontId="19" fillId="0" borderId="0" xfId="0" applyFont="1" applyAlignment="1">
      <alignment vertical="center"/>
    </xf>
    <xf numFmtId="0" fontId="19" fillId="0" borderId="2" xfId="0" applyFont="1" applyBorder="1" applyAlignment="1">
      <alignment vertical="center"/>
    </xf>
    <xf numFmtId="0" fontId="19" fillId="0" borderId="0" xfId="0" applyFont="1" applyBorder="1" applyAlignment="1">
      <alignment vertical="center"/>
    </xf>
    <xf numFmtId="0" fontId="17" fillId="0" borderId="9" xfId="0" applyFont="1" applyBorder="1" applyAlignment="1" applyProtection="1">
      <alignment vertical="center"/>
    </xf>
    <xf numFmtId="0" fontId="17" fillId="0" borderId="13" xfId="0" applyFont="1" applyBorder="1" applyAlignment="1" applyProtection="1">
      <alignment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2" xfId="0" quotePrefix="1" applyFont="1" applyFill="1" applyBorder="1" applyAlignment="1">
      <alignment horizontal="center" vertical="center"/>
    </xf>
    <xf numFmtId="0" fontId="5" fillId="0" borderId="0" xfId="1" applyFont="1" applyBorder="1" applyAlignment="1">
      <alignment horizontal="center" vertical="center"/>
    </xf>
    <xf numFmtId="0" fontId="5" fillId="0" borderId="39" xfId="1"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0" xfId="0" applyBorder="1"/>
    <xf numFmtId="0" fontId="0" fillId="0" borderId="0" xfId="0" applyAlignment="1">
      <alignment vertical="center"/>
    </xf>
    <xf numFmtId="0" fontId="0" fillId="0" borderId="50" xfId="0" applyBorder="1" applyAlignment="1">
      <alignment vertical="center"/>
    </xf>
    <xf numFmtId="0" fontId="0" fillId="0" borderId="0" xfId="0" applyAlignment="1"/>
    <xf numFmtId="0" fontId="5" fillId="0" borderId="50" xfId="1" applyFont="1" applyBorder="1" applyAlignment="1">
      <alignment vertical="center"/>
    </xf>
    <xf numFmtId="0" fontId="5" fillId="0" borderId="2" xfId="1" applyFont="1" applyBorder="1" applyAlignment="1">
      <alignment vertical="center"/>
    </xf>
    <xf numFmtId="0" fontId="5" fillId="0" borderId="6" xfId="1" applyFont="1" applyBorder="1" applyAlignment="1">
      <alignment vertical="center"/>
    </xf>
    <xf numFmtId="189" fontId="0" fillId="0" borderId="0" xfId="0" applyNumberFormat="1" applyAlignment="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189" fontId="0" fillId="0" borderId="42" xfId="0" applyNumberFormat="1" applyBorder="1" applyAlignment="1">
      <alignment horizontal="center" vertical="center"/>
    </xf>
    <xf numFmtId="0" fontId="0" fillId="0" borderId="70" xfId="0" applyBorder="1" applyAlignment="1">
      <alignment horizontal="center" vertical="center"/>
    </xf>
    <xf numFmtId="0" fontId="0" fillId="0" borderId="0" xfId="0" applyAlignment="1">
      <alignment horizontal="center" vertical="center"/>
    </xf>
    <xf numFmtId="0" fontId="0" fillId="0" borderId="71" xfId="0" applyBorder="1" applyAlignment="1">
      <alignment vertical="center"/>
    </xf>
    <xf numFmtId="0" fontId="0" fillId="0" borderId="7" xfId="0" applyBorder="1" applyAlignment="1">
      <alignment vertical="center"/>
    </xf>
    <xf numFmtId="189" fontId="0" fillId="0" borderId="7" xfId="0" applyNumberFormat="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2" xfId="0" applyBorder="1" applyAlignment="1">
      <alignment vertical="center"/>
    </xf>
    <xf numFmtId="189" fontId="0" fillId="0" borderId="2" xfId="0" applyNumberFormat="1" applyBorder="1" applyAlignment="1">
      <alignment vertical="center"/>
    </xf>
    <xf numFmtId="0" fontId="0" fillId="0" borderId="57"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189" fontId="0" fillId="0" borderId="75" xfId="0" applyNumberFormat="1" applyBorder="1" applyAlignment="1">
      <alignment vertical="center"/>
    </xf>
    <xf numFmtId="0" fontId="0" fillId="0" borderId="76" xfId="0" applyBorder="1" applyAlignment="1">
      <alignment vertical="center"/>
    </xf>
    <xf numFmtId="190" fontId="0" fillId="0" borderId="2" xfId="0" applyNumberFormat="1" applyBorder="1" applyAlignment="1">
      <alignment vertical="center"/>
    </xf>
    <xf numFmtId="189" fontId="0" fillId="0" borderId="1" xfId="0" applyNumberFormat="1" applyBorder="1" applyAlignment="1">
      <alignment horizontal="center" vertical="center"/>
    </xf>
    <xf numFmtId="189" fontId="0" fillId="0" borderId="8" xfId="0" applyNumberFormat="1" applyBorder="1" applyAlignment="1">
      <alignment horizontal="center" vertical="center"/>
    </xf>
    <xf numFmtId="0" fontId="21" fillId="0" borderId="0" xfId="0" applyFont="1" applyAlignment="1">
      <alignment vertical="center"/>
    </xf>
    <xf numFmtId="0" fontId="0" fillId="0" borderId="0" xfId="0" applyAlignment="1">
      <alignment horizontal="left" vertical="center"/>
    </xf>
    <xf numFmtId="0" fontId="0" fillId="0" borderId="73" xfId="0" applyBorder="1" applyAlignment="1">
      <alignment horizontal="center" vertical="center"/>
    </xf>
    <xf numFmtId="0" fontId="0" fillId="0" borderId="2" xfId="0" applyBorder="1" applyAlignment="1">
      <alignment horizontal="center" vertical="center"/>
    </xf>
    <xf numFmtId="0" fontId="0" fillId="3" borderId="77" xfId="0" applyFill="1" applyBorder="1" applyAlignment="1">
      <alignment vertical="center" wrapText="1"/>
    </xf>
    <xf numFmtId="0" fontId="0" fillId="0" borderId="78" xfId="0" applyBorder="1" applyAlignment="1">
      <alignment horizontal="center" vertical="center"/>
    </xf>
    <xf numFmtId="0" fontId="0" fillId="0" borderId="78" xfId="0" applyBorder="1" applyAlignment="1">
      <alignment horizontal="center" vertical="center" wrapText="1"/>
    </xf>
    <xf numFmtId="0" fontId="0" fillId="0" borderId="79" xfId="0" applyBorder="1" applyAlignment="1">
      <alignment horizontal="center" vertical="center"/>
    </xf>
    <xf numFmtId="0" fontId="0" fillId="3" borderId="73" xfId="0" applyFill="1" applyBorder="1" applyAlignment="1">
      <alignment vertical="center" wrapText="1"/>
    </xf>
    <xf numFmtId="0" fontId="0" fillId="0" borderId="57" xfId="0" applyBorder="1" applyAlignment="1">
      <alignment horizontal="center" vertical="center"/>
    </xf>
    <xf numFmtId="0" fontId="0" fillId="3" borderId="74" xfId="0" applyFill="1" applyBorder="1" applyAlignment="1">
      <alignment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wrapText="1"/>
    </xf>
    <xf numFmtId="0" fontId="5" fillId="0" borderId="0" xfId="0" applyFont="1" applyAlignment="1" applyProtection="1">
      <alignment vertical="center"/>
    </xf>
    <xf numFmtId="0" fontId="12" fillId="0" borderId="0" xfId="0" applyFont="1" applyAlignment="1" applyProtection="1">
      <alignment vertical="center"/>
    </xf>
    <xf numFmtId="0" fontId="5" fillId="0" borderId="0" xfId="0" applyFont="1" applyAlignment="1" applyProtection="1">
      <alignment horizontal="justify" vertical="center"/>
    </xf>
    <xf numFmtId="0" fontId="5" fillId="0" borderId="0" xfId="0" applyFont="1" applyAlignment="1" applyProtection="1">
      <alignment horizontal="center" vertical="center"/>
    </xf>
    <xf numFmtId="0" fontId="5" fillId="0" borderId="0" xfId="0" applyFont="1" applyFill="1" applyAlignment="1" applyProtection="1">
      <alignment vertical="center"/>
    </xf>
    <xf numFmtId="183" fontId="5" fillId="0" borderId="0" xfId="0" applyNumberFormat="1" applyFont="1" applyFill="1" applyAlignment="1" applyProtection="1">
      <alignment horizontal="right" vertical="center"/>
    </xf>
    <xf numFmtId="183" fontId="5" fillId="0" borderId="0" xfId="0" applyNumberFormat="1" applyFont="1" applyFill="1" applyAlignment="1" applyProtection="1">
      <alignment vertical="center"/>
    </xf>
    <xf numFmtId="183" fontId="5" fillId="0" borderId="0" xfId="0" applyNumberFormat="1" applyFont="1" applyFill="1" applyAlignment="1" applyProtection="1">
      <alignment horizontal="center" vertical="center"/>
    </xf>
    <xf numFmtId="56" fontId="5" fillId="0" borderId="0" xfId="0" applyNumberFormat="1" applyFont="1" applyAlignment="1" applyProtection="1">
      <alignment vertical="center"/>
    </xf>
    <xf numFmtId="0" fontId="5" fillId="0" borderId="0" xfId="0" applyFont="1" applyAlignment="1" applyProtection="1">
      <alignment horizontal="right" vertical="center"/>
    </xf>
    <xf numFmtId="0" fontId="5" fillId="0" borderId="0" xfId="0" applyFont="1" applyFill="1" applyAlignment="1" applyProtection="1">
      <alignment horizontal="left" vertical="center"/>
    </xf>
    <xf numFmtId="0" fontId="5" fillId="0" borderId="0" xfId="0" applyFont="1" applyAlignment="1" applyProtection="1">
      <alignment horizontal="left" vertical="center"/>
    </xf>
    <xf numFmtId="0" fontId="5" fillId="0" borderId="0" xfId="0" applyFont="1" applyFill="1" applyAlignment="1" applyProtection="1">
      <alignment horizontal="right" vertical="center"/>
    </xf>
    <xf numFmtId="0" fontId="14" fillId="0" borderId="0" xfId="0" applyFont="1" applyFill="1" applyAlignment="1" applyProtection="1">
      <alignment horizontal="left" vertical="center" shrinkToFit="1"/>
    </xf>
    <xf numFmtId="0" fontId="15" fillId="0" borderId="0" xfId="0" applyFont="1" applyAlignment="1" applyProtection="1">
      <alignment vertical="center" wrapText="1"/>
    </xf>
    <xf numFmtId="0" fontId="5" fillId="0" borderId="0" xfId="0" applyFont="1" applyBorder="1" applyAlignment="1" applyProtection="1">
      <alignment vertical="center"/>
    </xf>
    <xf numFmtId="0" fontId="6" fillId="0" borderId="0" xfId="0" applyFont="1" applyAlignment="1" applyProtection="1">
      <alignment horizontal="left" vertical="center"/>
    </xf>
    <xf numFmtId="0" fontId="5" fillId="0" borderId="0" xfId="0" applyFont="1" applyBorder="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0" fontId="7" fillId="0" borderId="0" xfId="0" applyFont="1" applyBorder="1" applyAlignment="1" applyProtection="1">
      <alignment vertical="center"/>
    </xf>
    <xf numFmtId="0" fontId="7" fillId="0" borderId="14" xfId="0" applyFont="1" applyBorder="1" applyAlignment="1" applyProtection="1">
      <alignment vertical="center"/>
    </xf>
    <xf numFmtId="0" fontId="19" fillId="0" borderId="0" xfId="0" applyFont="1" applyAlignment="1" applyProtection="1">
      <alignment vertical="center"/>
    </xf>
    <xf numFmtId="0" fontId="18" fillId="0" borderId="4" xfId="3" applyFont="1" applyBorder="1" applyAlignment="1">
      <alignment vertical="center" shrinkToFit="1"/>
    </xf>
    <xf numFmtId="0" fontId="18" fillId="0" borderId="0" xfId="3" applyFont="1" applyAlignment="1">
      <alignment vertical="center" shrinkToFit="1"/>
    </xf>
    <xf numFmtId="0" fontId="18" fillId="0" borderId="1" xfId="3" applyFont="1" applyBorder="1" applyAlignment="1">
      <alignment vertical="center" shrinkToFit="1"/>
    </xf>
    <xf numFmtId="184" fontId="5" fillId="2" borderId="0" xfId="0" applyNumberFormat="1" applyFont="1" applyFill="1" applyAlignment="1" applyProtection="1">
      <alignment vertical="center"/>
      <protection locked="0"/>
    </xf>
    <xf numFmtId="0" fontId="23" fillId="0" borderId="0" xfId="3" applyFont="1" applyAlignment="1">
      <alignment horizontal="center" vertical="center"/>
    </xf>
    <xf numFmtId="0" fontId="23" fillId="0" borderId="1" xfId="3" applyFont="1" applyBorder="1" applyAlignment="1">
      <alignment vertical="center" shrinkToFit="1"/>
    </xf>
    <xf numFmtId="0" fontId="23" fillId="0" borderId="0" xfId="3" applyFont="1">
      <alignment vertical="center"/>
    </xf>
    <xf numFmtId="0" fontId="23" fillId="0" borderId="4" xfId="3" applyFont="1" applyBorder="1" applyAlignment="1">
      <alignment vertical="center" shrinkToFit="1"/>
    </xf>
    <xf numFmtId="0" fontId="23" fillId="0" borderId="0" xfId="3" applyFont="1" applyAlignment="1">
      <alignment vertical="center" shrinkToFit="1"/>
    </xf>
    <xf numFmtId="0" fontId="18" fillId="0" borderId="0" xfId="0" applyFont="1" applyAlignment="1" applyProtection="1">
      <alignment vertical="center" shrinkToFit="1"/>
    </xf>
    <xf numFmtId="38" fontId="18" fillId="0" borderId="0" xfId="2" applyFont="1" applyAlignment="1" applyProtection="1">
      <alignment horizontal="right" vertical="center"/>
    </xf>
    <xf numFmtId="38" fontId="18" fillId="0" borderId="0" xfId="2" applyFont="1" applyAlignment="1" applyProtection="1">
      <alignment vertical="center" shrinkToFit="1"/>
    </xf>
    <xf numFmtId="0" fontId="18" fillId="0" borderId="0" xfId="0" applyFont="1" applyAlignment="1" applyProtection="1">
      <alignment vertical="center"/>
    </xf>
    <xf numFmtId="0" fontId="24" fillId="0" borderId="0" xfId="0" applyFont="1" applyAlignment="1" applyProtection="1">
      <alignment vertical="center"/>
    </xf>
    <xf numFmtId="0" fontId="18" fillId="0" borderId="2" xfId="0" applyFont="1" applyBorder="1" applyAlignment="1" applyProtection="1">
      <alignment vertical="center"/>
    </xf>
    <xf numFmtId="0" fontId="18" fillId="0" borderId="3" xfId="0" applyFont="1" applyBorder="1" applyAlignment="1" applyProtection="1">
      <alignment vertical="center"/>
    </xf>
    <xf numFmtId="0" fontId="18" fillId="0" borderId="4" xfId="0" applyFont="1" applyBorder="1" applyAlignment="1" applyProtection="1">
      <alignment vertical="center" shrinkToFit="1"/>
    </xf>
    <xf numFmtId="0" fontId="18" fillId="0" borderId="5" xfId="0" applyFont="1" applyBorder="1" applyAlignment="1" applyProtection="1">
      <alignment vertical="center"/>
    </xf>
    <xf numFmtId="38" fontId="18" fillId="0" borderId="0" xfId="2" applyFont="1" applyAlignment="1" applyProtection="1">
      <alignment vertical="center"/>
    </xf>
    <xf numFmtId="0" fontId="18" fillId="0" borderId="0" xfId="0" applyFont="1" applyBorder="1" applyAlignment="1" applyProtection="1">
      <alignment vertical="center"/>
    </xf>
    <xf numFmtId="0" fontId="18" fillId="0" borderId="2" xfId="0" applyFont="1" applyBorder="1" applyAlignment="1" applyProtection="1">
      <alignment horizontal="centerContinuous" vertical="center" wrapText="1"/>
    </xf>
    <xf numFmtId="0" fontId="18" fillId="0" borderId="2" xfId="0" applyFont="1" applyBorder="1" applyAlignment="1" applyProtection="1">
      <alignment horizontal="centerContinuous" vertical="center"/>
    </xf>
    <xf numFmtId="0" fontId="18" fillId="0" borderId="3" xfId="0" applyFont="1" applyBorder="1" applyAlignment="1" applyProtection="1">
      <alignment horizontal="centerContinuous" vertical="center"/>
    </xf>
    <xf numFmtId="0" fontId="18" fillId="0" borderId="0" xfId="0" applyFont="1" applyBorder="1" applyAlignment="1" applyProtection="1">
      <alignment horizontal="center" vertical="center" wrapText="1"/>
    </xf>
    <xf numFmtId="38" fontId="18" fillId="0" borderId="15" xfId="2" applyFont="1" applyBorder="1" applyAlignment="1" applyProtection="1">
      <alignment vertical="center" wrapText="1"/>
    </xf>
    <xf numFmtId="38" fontId="18" fillId="0" borderId="6" xfId="2" applyFont="1" applyBorder="1" applyAlignment="1" applyProtection="1">
      <alignment horizontal="center" vertical="center" shrinkToFit="1"/>
    </xf>
    <xf numFmtId="38" fontId="18" fillId="0" borderId="7" xfId="2" applyFont="1" applyBorder="1" applyAlignment="1" applyProtection="1">
      <alignment vertical="center" wrapText="1"/>
    </xf>
    <xf numFmtId="38" fontId="18" fillId="0" borderId="2" xfId="2" applyFont="1" applyBorder="1" applyAlignment="1" applyProtection="1">
      <alignment vertical="center" shrinkToFit="1"/>
    </xf>
    <xf numFmtId="0" fontId="18" fillId="2" borderId="2" xfId="0" applyFont="1" applyFill="1" applyBorder="1" applyAlignment="1" applyProtection="1">
      <alignment vertical="center" shrinkToFit="1"/>
      <protection locked="0"/>
    </xf>
    <xf numFmtId="0" fontId="18" fillId="0" borderId="2" xfId="0" applyFont="1" applyBorder="1" applyAlignment="1" applyProtection="1">
      <alignment horizontal="center" vertical="center" shrinkToFit="1"/>
    </xf>
    <xf numFmtId="38" fontId="18" fillId="0" borderId="2" xfId="2" applyFont="1" applyBorder="1" applyAlignment="1" applyProtection="1">
      <alignment vertical="center" shrinkToFit="1"/>
      <protection locked="0"/>
    </xf>
    <xf numFmtId="0" fontId="18" fillId="2" borderId="2" xfId="0" applyNumberFormat="1" applyFont="1" applyFill="1" applyBorder="1" applyAlignment="1" applyProtection="1">
      <alignment vertical="center" shrinkToFit="1"/>
      <protection locked="0"/>
    </xf>
    <xf numFmtId="0" fontId="18" fillId="0" borderId="0" xfId="0" applyNumberFormat="1" applyFont="1" applyAlignment="1" applyProtection="1">
      <alignment vertical="center"/>
    </xf>
    <xf numFmtId="0" fontId="18" fillId="0" borderId="0" xfId="0" applyNumberFormat="1"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vertical="center" shrinkToFit="1"/>
    </xf>
    <xf numFmtId="0" fontId="25" fillId="0" borderId="0" xfId="0" applyFont="1" applyAlignment="1" applyProtection="1">
      <alignment vertical="center" wrapText="1"/>
    </xf>
    <xf numFmtId="38" fontId="25" fillId="0" borderId="0" xfId="2" applyFont="1" applyAlignment="1" applyProtection="1">
      <alignmen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shrinkToFit="1"/>
    </xf>
    <xf numFmtId="38" fontId="25" fillId="0" borderId="0" xfId="2" applyFont="1" applyAlignment="1" applyProtection="1">
      <alignment horizontal="left" vertical="center" wrapText="1"/>
    </xf>
    <xf numFmtId="0" fontId="11" fillId="0" borderId="0" xfId="0" applyFont="1" applyAlignment="1" applyProtection="1">
      <alignment vertical="center"/>
    </xf>
    <xf numFmtId="0" fontId="26" fillId="0" borderId="0" xfId="0" applyNumberFormat="1" applyFont="1" applyAlignment="1" applyProtection="1">
      <alignment vertical="center"/>
    </xf>
    <xf numFmtId="0" fontId="7" fillId="0" borderId="0" xfId="0" applyNumberFormat="1" applyFont="1" applyAlignment="1" applyProtection="1">
      <alignment vertical="center"/>
    </xf>
    <xf numFmtId="38" fontId="7" fillId="0" borderId="2" xfId="0" applyNumberFormat="1" applyFont="1" applyBorder="1" applyAlignment="1" applyProtection="1">
      <alignment horizontal="right" vertical="center"/>
    </xf>
    <xf numFmtId="0" fontId="26" fillId="0" borderId="0" xfId="0" applyFont="1" applyAlignment="1" applyProtection="1">
      <alignment vertical="center"/>
    </xf>
    <xf numFmtId="38" fontId="7" fillId="0" borderId="4" xfId="2" applyFont="1" applyFill="1" applyBorder="1" applyAlignment="1" applyProtection="1">
      <alignment vertical="center"/>
    </xf>
    <xf numFmtId="0" fontId="7" fillId="0" borderId="0" xfId="0" applyFont="1" applyFill="1" applyAlignment="1" applyProtection="1">
      <alignment vertical="center"/>
    </xf>
    <xf numFmtId="38" fontId="7" fillId="0" borderId="2" xfId="2" applyFont="1" applyFill="1" applyBorder="1" applyAlignment="1" applyProtection="1">
      <alignment vertical="center" wrapText="1"/>
    </xf>
    <xf numFmtId="185" fontId="7" fillId="0" borderId="2" xfId="0" applyNumberFormat="1" applyFont="1" applyFill="1" applyBorder="1" applyAlignment="1" applyProtection="1">
      <alignment vertical="center" wrapText="1"/>
    </xf>
    <xf numFmtId="38" fontId="7" fillId="0" borderId="18" xfId="2" applyFont="1" applyFill="1" applyBorder="1" applyAlignment="1" applyProtection="1">
      <alignment vertical="center" wrapText="1"/>
    </xf>
    <xf numFmtId="0" fontId="7" fillId="0" borderId="18" xfId="0" applyFont="1" applyFill="1" applyBorder="1" applyAlignment="1" applyProtection="1">
      <alignment vertical="center" wrapText="1"/>
    </xf>
    <xf numFmtId="38" fontId="7" fillId="0" borderId="54" xfId="2" applyFont="1" applyFill="1" applyBorder="1" applyAlignment="1" applyProtection="1">
      <alignment vertical="center" wrapText="1"/>
    </xf>
    <xf numFmtId="0" fontId="7" fillId="0" borderId="54" xfId="0" applyFont="1" applyFill="1" applyBorder="1" applyAlignment="1" applyProtection="1">
      <alignment vertical="center" wrapText="1"/>
    </xf>
    <xf numFmtId="38" fontId="7" fillId="0" borderId="56" xfId="2" applyFont="1" applyFill="1" applyBorder="1" applyAlignment="1" applyProtection="1">
      <alignment vertical="center" wrapText="1"/>
    </xf>
    <xf numFmtId="0" fontId="7" fillId="0" borderId="55" xfId="0" applyFont="1" applyFill="1" applyBorder="1" applyAlignment="1" applyProtection="1">
      <alignment vertical="center" wrapText="1"/>
    </xf>
    <xf numFmtId="38" fontId="7" fillId="0" borderId="50" xfId="2" applyFont="1" applyFill="1" applyBorder="1" applyAlignment="1" applyProtection="1">
      <alignment vertical="center" wrapText="1"/>
    </xf>
    <xf numFmtId="0" fontId="7" fillId="0" borderId="1" xfId="0" applyFont="1" applyFill="1" applyBorder="1" applyAlignment="1" applyProtection="1">
      <alignment vertical="center" wrapText="1"/>
    </xf>
    <xf numFmtId="38" fontId="7" fillId="0" borderId="50" xfId="2" applyFont="1" applyFill="1" applyBorder="1" applyAlignment="1" applyProtection="1">
      <alignment vertical="center"/>
    </xf>
    <xf numFmtId="0" fontId="7" fillId="0" borderId="12" xfId="0" applyFont="1" applyFill="1" applyBorder="1" applyAlignment="1" applyProtection="1">
      <alignment vertical="center" wrapText="1"/>
    </xf>
    <xf numFmtId="1" fontId="7" fillId="0" borderId="2" xfId="0" applyNumberFormat="1" applyFont="1" applyFill="1" applyBorder="1" applyAlignment="1" applyProtection="1">
      <alignment vertical="center" wrapText="1"/>
    </xf>
    <xf numFmtId="3" fontId="7" fillId="0" borderId="2" xfId="0" applyNumberFormat="1" applyFont="1" applyFill="1" applyBorder="1" applyAlignment="1" applyProtection="1">
      <alignment vertical="center" shrinkToFit="1"/>
    </xf>
    <xf numFmtId="0" fontId="7" fillId="0" borderId="2" xfId="0" applyFont="1" applyFill="1" applyBorder="1" applyAlignment="1" applyProtection="1">
      <alignment vertical="center" shrinkToFit="1"/>
    </xf>
    <xf numFmtId="3" fontId="7" fillId="0" borderId="18" xfId="0" applyNumberFormat="1" applyFont="1" applyFill="1" applyBorder="1" applyAlignment="1" applyProtection="1">
      <alignment vertical="center" shrinkToFit="1"/>
    </xf>
    <xf numFmtId="0" fontId="7" fillId="0" borderId="18" xfId="0" applyFont="1" applyFill="1" applyBorder="1" applyAlignment="1" applyProtection="1">
      <alignment vertical="center" shrinkToFit="1"/>
    </xf>
    <xf numFmtId="0" fontId="7" fillId="0" borderId="0" xfId="0" applyFont="1" applyFill="1" applyBorder="1" applyAlignment="1" applyProtection="1">
      <alignment vertical="center" wrapText="1"/>
    </xf>
    <xf numFmtId="38" fontId="7" fillId="0" borderId="0" xfId="0" applyNumberFormat="1" applyFont="1" applyAlignment="1" applyProtection="1">
      <alignment vertical="center"/>
    </xf>
    <xf numFmtId="0" fontId="7" fillId="0" borderId="10" xfId="0" applyFont="1" applyFill="1" applyBorder="1" applyAlignment="1" applyProtection="1">
      <alignment vertical="center" wrapText="1"/>
    </xf>
    <xf numFmtId="0" fontId="6" fillId="0" borderId="0" xfId="0" applyFont="1" applyAlignment="1" applyProtection="1">
      <alignment vertical="center"/>
    </xf>
    <xf numFmtId="0" fontId="5" fillId="0" borderId="1" xfId="0" applyFont="1" applyBorder="1" applyAlignment="1" applyProtection="1">
      <alignment vertical="center"/>
    </xf>
    <xf numFmtId="0" fontId="5" fillId="0" borderId="65" xfId="0" applyFont="1" applyBorder="1" applyAlignment="1" applyProtection="1">
      <alignment horizontal="center" vertical="center" wrapText="1"/>
    </xf>
    <xf numFmtId="186" fontId="5" fillId="2" borderId="4" xfId="0" applyNumberFormat="1" applyFont="1" applyFill="1" applyBorder="1" applyAlignment="1" applyProtection="1">
      <alignment vertical="center" shrinkToFit="1"/>
      <protection locked="0"/>
    </xf>
    <xf numFmtId="0" fontId="5" fillId="0" borderId="4" xfId="0" applyFont="1" applyBorder="1" applyAlignment="1" applyProtection="1">
      <alignment vertical="center"/>
    </xf>
    <xf numFmtId="0" fontId="5" fillId="2" borderId="65" xfId="0" applyFont="1" applyFill="1" applyBorder="1" applyAlignment="1" applyProtection="1">
      <alignment horizontal="center" vertical="center"/>
      <protection locked="0"/>
    </xf>
    <xf numFmtId="0" fontId="5" fillId="0" borderId="4" xfId="0" applyFont="1" applyFill="1" applyBorder="1" applyAlignment="1" applyProtection="1">
      <alignment vertical="center"/>
    </xf>
    <xf numFmtId="0" fontId="5" fillId="0" borderId="5" xfId="0" applyFont="1" applyBorder="1" applyAlignment="1" applyProtection="1">
      <alignment vertical="center"/>
    </xf>
    <xf numFmtId="0" fontId="5" fillId="0" borderId="0" xfId="0" applyFont="1" applyFill="1" applyBorder="1" applyAlignment="1" applyProtection="1">
      <alignment vertical="center"/>
    </xf>
    <xf numFmtId="58" fontId="28" fillId="0" borderId="0" xfId="0" applyNumberFormat="1" applyFont="1" applyBorder="1" applyAlignment="1" applyProtection="1">
      <alignment vertical="center"/>
    </xf>
    <xf numFmtId="0" fontId="5" fillId="0" borderId="8" xfId="0" applyFont="1" applyBorder="1" applyAlignment="1" applyProtection="1">
      <alignment vertical="center"/>
    </xf>
    <xf numFmtId="0" fontId="5" fillId="0" borderId="10" xfId="0" applyFont="1" applyBorder="1" applyAlignment="1" applyProtection="1">
      <alignment vertical="center"/>
    </xf>
    <xf numFmtId="0" fontId="7" fillId="2" borderId="11" xfId="0" applyFont="1" applyFill="1" applyBorder="1" applyAlignment="1" applyProtection="1">
      <alignment horizontal="left" vertical="center"/>
      <protection locked="0"/>
    </xf>
    <xf numFmtId="0" fontId="5" fillId="0" borderId="12" xfId="0" applyFont="1" applyBorder="1" applyAlignment="1" applyProtection="1">
      <alignment vertical="center"/>
    </xf>
    <xf numFmtId="0" fontId="5" fillId="0" borderId="9" xfId="0" applyFont="1" applyBorder="1" applyAlignment="1" applyProtection="1">
      <alignment vertical="center"/>
    </xf>
    <xf numFmtId="0" fontId="7" fillId="0" borderId="11" xfId="0" applyFont="1" applyFill="1" applyBorder="1" applyAlignment="1" applyProtection="1">
      <alignment horizontal="left" vertical="center" indent="1"/>
    </xf>
    <xf numFmtId="0" fontId="7" fillId="0" borderId="1" xfId="0" applyFont="1" applyBorder="1" applyAlignment="1" applyProtection="1">
      <alignment horizontal="left" vertical="center"/>
    </xf>
    <xf numFmtId="0" fontId="5" fillId="0" borderId="13" xfId="0" applyFont="1" applyBorder="1" applyAlignment="1" applyProtection="1">
      <alignment vertical="center"/>
    </xf>
    <xf numFmtId="0" fontId="7" fillId="0" borderId="0" xfId="0" applyFont="1" applyBorder="1" applyAlignment="1" applyProtection="1">
      <alignment horizontal="left" vertical="center"/>
    </xf>
    <xf numFmtId="0" fontId="7" fillId="0" borderId="14" xfId="0" applyFont="1" applyBorder="1" applyAlignment="1" applyProtection="1">
      <alignment horizontal="left" vertical="center"/>
    </xf>
    <xf numFmtId="0" fontId="29"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horizontal="right" vertical="center"/>
    </xf>
    <xf numFmtId="0" fontId="7" fillId="0" borderId="0" xfId="0" applyFont="1" applyFill="1" applyBorder="1" applyAlignment="1" applyProtection="1">
      <alignment horizontal="left" vertical="center" shrinkToFit="1"/>
    </xf>
    <xf numFmtId="0" fontId="7" fillId="0" borderId="14" xfId="0" applyFont="1" applyFill="1" applyBorder="1" applyAlignment="1" applyProtection="1">
      <alignment horizontal="left" vertical="center" shrinkToFit="1"/>
    </xf>
    <xf numFmtId="0" fontId="7" fillId="0" borderId="1" xfId="0" applyFont="1" applyFill="1" applyBorder="1" applyAlignment="1" applyProtection="1">
      <alignment horizontal="left" vertical="center" shrinkToFit="1"/>
    </xf>
    <xf numFmtId="0" fontId="7" fillId="0" borderId="12" xfId="0" applyFont="1" applyFill="1" applyBorder="1" applyAlignment="1" applyProtection="1">
      <alignment horizontal="left" vertical="center" shrinkToFit="1"/>
    </xf>
    <xf numFmtId="0" fontId="5" fillId="0" borderId="9" xfId="0" applyFont="1" applyBorder="1" applyAlignment="1" applyProtection="1">
      <alignment vertical="top"/>
    </xf>
    <xf numFmtId="0" fontId="5" fillId="0" borderId="10" xfId="0" applyFont="1" applyBorder="1" applyAlignment="1" applyProtection="1">
      <alignment vertical="top"/>
    </xf>
    <xf numFmtId="0" fontId="5" fillId="0" borderId="11" xfId="0" applyFont="1" applyBorder="1" applyAlignment="1" applyProtection="1">
      <alignment vertical="top"/>
    </xf>
    <xf numFmtId="0" fontId="5" fillId="0" borderId="12" xfId="0" applyFont="1" applyBorder="1" applyAlignment="1" applyProtection="1">
      <alignment vertical="top"/>
    </xf>
    <xf numFmtId="0" fontId="13" fillId="0" borderId="0" xfId="0" applyFont="1" applyBorder="1" applyAlignment="1" applyProtection="1">
      <alignment vertical="center"/>
    </xf>
    <xf numFmtId="0" fontId="5" fillId="0" borderId="63" xfId="0" applyFont="1" applyBorder="1" applyAlignment="1" applyProtection="1">
      <alignment horizontal="center" vertical="center" wrapText="1"/>
    </xf>
    <xf numFmtId="0" fontId="5" fillId="0" borderId="8"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5" xfId="0" applyFont="1" applyBorder="1" applyAlignment="1" applyProtection="1">
      <alignment vertical="center" wrapText="1"/>
    </xf>
    <xf numFmtId="0" fontId="11" fillId="0" borderId="0" xfId="0" applyFont="1" applyAlignment="1" applyProtection="1">
      <alignment horizontal="center" vertical="center"/>
    </xf>
    <xf numFmtId="0" fontId="14" fillId="0" borderId="0" xfId="0" applyFont="1" applyFill="1" applyAlignment="1" applyProtection="1">
      <alignment vertical="center" shrinkToFit="1"/>
    </xf>
    <xf numFmtId="0" fontId="7" fillId="0" borderId="1" xfId="0" applyFont="1" applyBorder="1" applyAlignment="1" applyProtection="1">
      <alignment vertical="center"/>
    </xf>
    <xf numFmtId="0" fontId="7" fillId="0" borderId="11" xfId="0" applyFont="1" applyFill="1" applyBorder="1" applyAlignment="1" applyProtection="1">
      <alignment vertical="center"/>
    </xf>
    <xf numFmtId="0" fontId="7" fillId="0" borderId="8"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0" fontId="7" fillId="0" borderId="6" xfId="0" applyFont="1" applyFill="1" applyBorder="1" applyAlignment="1" applyProtection="1">
      <alignment vertical="center" wrapText="1"/>
    </xf>
    <xf numFmtId="38" fontId="7" fillId="0" borderId="6" xfId="2" applyFont="1" applyFill="1" applyBorder="1" applyAlignment="1" applyProtection="1">
      <alignment vertical="center" wrapText="1"/>
    </xf>
    <xf numFmtId="38" fontId="7" fillId="0" borderId="7" xfId="2" applyFont="1" applyFill="1" applyBorder="1" applyAlignment="1" applyProtection="1">
      <alignment vertical="center" wrapText="1"/>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vertical="center" wrapText="1"/>
    </xf>
    <xf numFmtId="0" fontId="7" fillId="0" borderId="11" xfId="0" applyFont="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8" xfId="0" applyFont="1" applyBorder="1" applyAlignment="1" applyProtection="1">
      <alignment vertical="center"/>
    </xf>
    <xf numFmtId="0" fontId="7" fillId="0" borderId="10" xfId="0" applyFont="1" applyBorder="1" applyAlignment="1" applyProtection="1">
      <alignment vertical="center"/>
    </xf>
    <xf numFmtId="0" fontId="7" fillId="0" borderId="12" xfId="0" applyFont="1" applyBorder="1" applyAlignment="1" applyProtection="1">
      <alignment vertical="center"/>
    </xf>
    <xf numFmtId="0" fontId="7" fillId="0" borderId="8" xfId="0" applyFont="1" applyBorder="1" applyAlignment="1" applyProtection="1">
      <alignment horizontal="left" vertical="center"/>
    </xf>
    <xf numFmtId="38" fontId="7" fillId="0" borderId="2" xfId="0" applyNumberFormat="1" applyFont="1" applyBorder="1" applyAlignment="1" applyProtection="1">
      <alignment vertical="center"/>
    </xf>
    <xf numFmtId="0" fontId="7" fillId="0" borderId="2" xfId="0" applyFont="1" applyBorder="1" applyAlignment="1" applyProtection="1">
      <alignment vertical="center"/>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18" fillId="0" borderId="2" xfId="0" applyNumberFormat="1" applyFont="1" applyBorder="1" applyAlignment="1" applyProtection="1">
      <alignment horizontal="left" vertical="center" shrinkToFit="1"/>
      <protection locked="0"/>
    </xf>
    <xf numFmtId="0" fontId="18" fillId="0" borderId="3" xfId="0" applyNumberFormat="1" applyFont="1" applyBorder="1" applyAlignment="1" applyProtection="1">
      <alignment horizontal="left" vertical="center" shrinkToFit="1"/>
      <protection locked="0"/>
    </xf>
    <xf numFmtId="0" fontId="5" fillId="0" borderId="0" xfId="0" applyFont="1"/>
    <xf numFmtId="0" fontId="5" fillId="0" borderId="0" xfId="1" applyFont="1" applyAlignment="1">
      <alignment horizontal="right" vertical="center"/>
    </xf>
    <xf numFmtId="0" fontId="0" fillId="0" borderId="4" xfId="0" applyBorder="1" applyAlignment="1"/>
    <xf numFmtId="2" fontId="18" fillId="0" borderId="2" xfId="0" applyNumberFormat="1" applyFont="1" applyBorder="1" applyAlignment="1" applyProtection="1">
      <alignment vertical="center" shrinkToFit="1"/>
      <protection locked="0"/>
    </xf>
    <xf numFmtId="192" fontId="18" fillId="0" borderId="2" xfId="0" applyNumberFormat="1" applyFont="1" applyBorder="1" applyAlignment="1" applyProtection="1">
      <alignment vertical="center" shrinkToFit="1"/>
      <protection locked="0"/>
    </xf>
    <xf numFmtId="2" fontId="18" fillId="0" borderId="2" xfId="0" applyNumberFormat="1" applyFont="1" applyBorder="1" applyAlignment="1" applyProtection="1">
      <alignment vertical="center" shrinkToFit="1"/>
    </xf>
    <xf numFmtId="0" fontId="18" fillId="0" borderId="2" xfId="0" applyFont="1" applyBorder="1" applyAlignment="1" applyProtection="1">
      <alignment horizontal="center" vertical="center" shrinkToFit="1"/>
      <protection locked="0"/>
    </xf>
    <xf numFmtId="0" fontId="18" fillId="0" borderId="2" xfId="0" applyFont="1" applyBorder="1" applyAlignment="1" applyProtection="1">
      <alignment vertical="center" shrinkToFit="1"/>
      <protection locked="0"/>
    </xf>
    <xf numFmtId="0" fontId="18" fillId="0" borderId="2" xfId="0" applyNumberFormat="1" applyFont="1" applyBorder="1" applyAlignment="1" applyProtection="1">
      <alignment horizontal="center" vertical="center" shrinkToFit="1"/>
      <protection locked="0"/>
    </xf>
    <xf numFmtId="0" fontId="18" fillId="0" borderId="2" xfId="0" applyNumberFormat="1" applyFont="1" applyBorder="1" applyAlignment="1" applyProtection="1">
      <alignment vertical="center" shrinkToFit="1"/>
      <protection locked="0"/>
    </xf>
    <xf numFmtId="0" fontId="18" fillId="0" borderId="2" xfId="0" applyFont="1" applyFill="1" applyBorder="1" applyAlignment="1" applyProtection="1">
      <alignment vertical="center" shrinkToFit="1"/>
      <protection locked="0"/>
    </xf>
    <xf numFmtId="0" fontId="19" fillId="0" borderId="2" xfId="0" applyFont="1" applyBorder="1" applyAlignment="1">
      <alignment horizontal="center" vertical="center"/>
    </xf>
    <xf numFmtId="0" fontId="5" fillId="0" borderId="21" xfId="0" quotePrefix="1" applyFont="1" applyFill="1" applyBorder="1" applyAlignment="1">
      <alignment horizontal="center" vertical="center"/>
    </xf>
    <xf numFmtId="0" fontId="5" fillId="0" borderId="22" xfId="0" quotePrefix="1" applyFont="1" applyFill="1" applyBorder="1" applyAlignment="1">
      <alignment horizontal="center" vertical="center"/>
    </xf>
    <xf numFmtId="0" fontId="5" fillId="0" borderId="23" xfId="0" quotePrefix="1" applyFont="1" applyFill="1" applyBorder="1" applyAlignment="1">
      <alignment horizontal="center" vertical="center"/>
    </xf>
    <xf numFmtId="0" fontId="0" fillId="0" borderId="2" xfId="0"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3" xfId="0" quotePrefix="1" applyFont="1" applyFill="1" applyBorder="1" applyAlignment="1">
      <alignment horizontal="center" vertical="center"/>
    </xf>
    <xf numFmtId="0" fontId="5" fillId="0" borderId="4" xfId="0" quotePrefix="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3" xfId="0" applyFont="1" applyFill="1" applyBorder="1" applyAlignment="1">
      <alignment horizontal="center" shrinkToFit="1"/>
    </xf>
    <xf numFmtId="0" fontId="5" fillId="0" borderId="4" xfId="0" applyFont="1" applyFill="1" applyBorder="1" applyAlignment="1">
      <alignment horizontal="center" shrinkToFit="1"/>
    </xf>
    <xf numFmtId="0" fontId="5" fillId="0" borderId="5" xfId="0" applyFont="1" applyFill="1" applyBorder="1" applyAlignment="1">
      <alignment horizontal="center" shrinkToFit="1"/>
    </xf>
    <xf numFmtId="0" fontId="5" fillId="0" borderId="3" xfId="0" quotePrefix="1" applyFont="1" applyFill="1" applyBorder="1" applyAlignment="1">
      <alignment horizontal="center" vertical="center" shrinkToFit="1"/>
    </xf>
    <xf numFmtId="0" fontId="5" fillId="0" borderId="4" xfId="0" quotePrefix="1" applyFont="1" applyFill="1" applyBorder="1" applyAlignment="1">
      <alignment horizontal="center" vertical="center" shrinkToFit="1"/>
    </xf>
    <xf numFmtId="0" fontId="5" fillId="0" borderId="5" xfId="0" quotePrefix="1" applyFont="1" applyFill="1" applyBorder="1" applyAlignment="1">
      <alignment horizontal="center" vertical="center" shrinkToFit="1"/>
    </xf>
    <xf numFmtId="0" fontId="5" fillId="0" borderId="2" xfId="1" applyFont="1" applyBorder="1" applyAlignment="1">
      <alignment horizontal="center" vertical="center" shrinkToFit="1"/>
    </xf>
    <xf numFmtId="0" fontId="10" fillId="0" borderId="2"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quotePrefix="1" applyFont="1" applyFill="1" applyBorder="1" applyAlignment="1">
      <alignment horizontal="center" vertical="center" shrinkToFit="1"/>
    </xf>
    <xf numFmtId="0" fontId="5" fillId="0" borderId="15" xfId="0" quotePrefix="1" applyFont="1" applyFill="1" applyBorder="1" applyAlignment="1">
      <alignment horizontal="center" vertical="center" shrinkToFit="1"/>
    </xf>
    <xf numFmtId="0" fontId="5" fillId="0" borderId="6" xfId="1" applyFont="1" applyBorder="1" applyAlignment="1">
      <alignment horizontal="center" vertical="center" textRotation="255" shrinkToFit="1"/>
    </xf>
    <xf numFmtId="0" fontId="5" fillId="0" borderId="15" xfId="1" applyFont="1" applyBorder="1" applyAlignment="1">
      <alignment horizontal="center" vertical="center" textRotation="255" shrinkToFit="1"/>
    </xf>
    <xf numFmtId="0" fontId="5" fillId="0" borderId="7" xfId="1" applyFont="1" applyBorder="1" applyAlignment="1">
      <alignment horizontal="center" vertical="center" textRotation="255" shrinkToFit="1"/>
    </xf>
    <xf numFmtId="187" fontId="5" fillId="0" borderId="0" xfId="1" applyNumberFormat="1" applyFont="1" applyAlignment="1">
      <alignment horizontal="left" vertical="center"/>
    </xf>
    <xf numFmtId="0" fontId="5" fillId="0" borderId="7" xfId="0" quotePrefix="1" applyFont="1" applyFill="1" applyBorder="1" applyAlignment="1">
      <alignment horizontal="center" vertical="center" shrinkToFit="1"/>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7" fillId="0" borderId="8" xfId="0" applyFont="1" applyBorder="1" applyAlignment="1" applyProtection="1">
      <alignment vertical="center" shrinkToFit="1"/>
    </xf>
    <xf numFmtId="0" fontId="7" fillId="0" borderId="10" xfId="0" applyFont="1" applyBorder="1" applyAlignment="1" applyProtection="1">
      <alignment vertical="center" shrinkToFit="1"/>
    </xf>
    <xf numFmtId="0" fontId="13" fillId="0" borderId="8"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2" xfId="0" applyFont="1" applyBorder="1" applyAlignment="1" applyProtection="1">
      <alignment horizontal="left" vertical="center" wrapText="1"/>
    </xf>
    <xf numFmtId="188" fontId="5" fillId="0" borderId="2"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0" fontId="15"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pplyProtection="1">
      <alignment horizontal="distributed" vertical="center"/>
    </xf>
    <xf numFmtId="186" fontId="5" fillId="2" borderId="0" xfId="0" applyNumberFormat="1" applyFont="1" applyFill="1" applyAlignment="1" applyProtection="1">
      <alignment horizontal="left" vertical="center" shrinkToFit="1"/>
      <protection locked="0"/>
    </xf>
    <xf numFmtId="0" fontId="5" fillId="0" borderId="0" xfId="0" applyFont="1" applyFill="1" applyAlignment="1" applyProtection="1">
      <alignment horizontal="distributed" vertical="center" shrinkToFit="1"/>
    </xf>
    <xf numFmtId="0" fontId="14" fillId="0" borderId="0" xfId="0" applyFont="1" applyFill="1" applyAlignment="1" applyProtection="1">
      <alignment vertical="center" shrinkToFit="1"/>
    </xf>
    <xf numFmtId="0" fontId="5" fillId="0" borderId="0" xfId="0" applyFont="1" applyAlignment="1" applyProtection="1">
      <alignment horizontal="left" vertical="center" wrapText="1"/>
    </xf>
    <xf numFmtId="0" fontId="14" fillId="2" borderId="0" xfId="0" applyFont="1" applyFill="1" applyAlignment="1" applyProtection="1">
      <alignment horizontal="left" vertical="center" shrinkToFit="1"/>
      <protection locked="0"/>
    </xf>
    <xf numFmtId="0" fontId="5" fillId="2" borderId="0" xfId="0" applyFont="1" applyFill="1" applyAlignment="1" applyProtection="1">
      <alignment horizontal="left" vertical="center" shrinkToFit="1"/>
      <protection locked="0"/>
    </xf>
    <xf numFmtId="0" fontId="5" fillId="0" borderId="63"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2" borderId="64" xfId="0" applyFont="1" applyFill="1" applyBorder="1" applyAlignment="1" applyProtection="1">
      <alignment horizontal="left" vertical="center" indent="1" shrinkToFit="1"/>
      <protection locked="0"/>
    </xf>
    <xf numFmtId="0" fontId="5" fillId="2" borderId="65" xfId="0" applyFont="1" applyFill="1" applyBorder="1" applyAlignment="1" applyProtection="1">
      <alignment horizontal="left" vertical="center" indent="1" shrinkToFit="1"/>
      <protection locked="0"/>
    </xf>
    <xf numFmtId="0" fontId="7" fillId="0" borderId="63" xfId="0" applyFont="1" applyBorder="1" applyAlignment="1" applyProtection="1">
      <alignment horizontal="center" vertical="center"/>
    </xf>
    <xf numFmtId="0" fontId="7" fillId="0" borderId="64" xfId="0" applyFont="1" applyBorder="1" applyAlignment="1" applyProtection="1">
      <alignment horizontal="center" vertical="center"/>
    </xf>
    <xf numFmtId="0" fontId="5" fillId="2" borderId="3"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5" xfId="0" applyFont="1" applyFill="1" applyBorder="1" applyAlignment="1" applyProtection="1">
      <alignment vertical="center" shrinkToFit="1"/>
      <protection locked="0"/>
    </xf>
    <xf numFmtId="188" fontId="7" fillId="0" borderId="3" xfId="0" applyNumberFormat="1" applyFont="1" applyFill="1" applyBorder="1" applyAlignment="1" applyProtection="1">
      <alignment horizontal="left" vertical="center" indent="2" shrinkToFit="1"/>
    </xf>
    <xf numFmtId="188" fontId="7" fillId="0" borderId="4" xfId="0" applyNumberFormat="1" applyFont="1" applyFill="1" applyBorder="1" applyAlignment="1" applyProtection="1">
      <alignment horizontal="left" vertical="center" indent="2" shrinkToFit="1"/>
    </xf>
    <xf numFmtId="188" fontId="7" fillId="0" borderId="5" xfId="0" applyNumberFormat="1" applyFont="1" applyFill="1" applyBorder="1" applyAlignment="1" applyProtection="1">
      <alignment horizontal="left" vertical="center" indent="2" shrinkToFit="1"/>
    </xf>
    <xf numFmtId="0" fontId="5" fillId="0" borderId="9"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5" fillId="0" borderId="14"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5" fillId="0" borderId="9"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13"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12" xfId="0" applyFont="1" applyBorder="1" applyAlignment="1" applyProtection="1">
      <alignment vertical="center" wrapText="1"/>
    </xf>
    <xf numFmtId="0" fontId="7" fillId="0" borderId="13" xfId="0" applyFont="1" applyBorder="1" applyAlignment="1" applyProtection="1">
      <alignment vertical="top" wrapText="1"/>
    </xf>
    <xf numFmtId="0" fontId="7" fillId="0" borderId="14" xfId="0" applyFont="1" applyBorder="1" applyAlignment="1" applyProtection="1">
      <alignment vertical="top" wrapText="1"/>
    </xf>
    <xf numFmtId="0" fontId="7" fillId="0" borderId="11" xfId="0" applyFont="1" applyBorder="1" applyAlignment="1" applyProtection="1">
      <alignment vertical="top" wrapText="1"/>
    </xf>
    <xf numFmtId="0" fontId="7" fillId="0" borderId="12" xfId="0" applyFont="1" applyBorder="1" applyAlignment="1" applyProtection="1">
      <alignment vertical="top"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58" fontId="5" fillId="0" borderId="9" xfId="0" applyNumberFormat="1" applyFont="1" applyFill="1" applyBorder="1" applyAlignment="1" applyProtection="1">
      <alignment horizontal="center" vertical="center"/>
    </xf>
    <xf numFmtId="58" fontId="5" fillId="0" borderId="8" xfId="0" applyNumberFormat="1" applyFont="1" applyFill="1" applyBorder="1" applyAlignment="1" applyProtection="1">
      <alignment horizontal="center" vertical="center"/>
    </xf>
    <xf numFmtId="0" fontId="5" fillId="0" borderId="63" xfId="0" applyFont="1" applyBorder="1" applyAlignment="1" applyProtection="1">
      <alignment horizontal="center" vertical="center" shrinkToFit="1"/>
    </xf>
    <xf numFmtId="0" fontId="5" fillId="0" borderId="64" xfId="0" applyFont="1" applyBorder="1" applyAlignment="1" applyProtection="1">
      <alignment horizontal="center" vertical="center" shrinkToFit="1"/>
    </xf>
    <xf numFmtId="0" fontId="5" fillId="2" borderId="20"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58" fontId="5" fillId="2" borderId="64" xfId="0" applyNumberFormat="1" applyFont="1" applyFill="1" applyBorder="1" applyAlignment="1" applyProtection="1">
      <alignment horizontal="center" vertical="center"/>
      <protection locked="0"/>
    </xf>
    <xf numFmtId="58" fontId="5" fillId="2" borderId="66"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80" xfId="0" applyFont="1" applyFill="1" applyBorder="1" applyAlignment="1" applyProtection="1">
      <alignment vertical="center" shrinkToFit="1"/>
      <protection locked="0"/>
    </xf>
    <xf numFmtId="0" fontId="5" fillId="2" borderId="6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left" vertical="center" indent="1" shrinkToFit="1"/>
      <protection locked="0"/>
    </xf>
    <xf numFmtId="0" fontId="5" fillId="0" borderId="63"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5" fillId="2" borderId="6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20" xfId="0" applyFont="1" applyFill="1" applyBorder="1" applyAlignment="1" applyProtection="1">
      <alignment vertical="center" shrinkToFit="1"/>
      <protection locked="0"/>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2" borderId="64"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181" fontId="5" fillId="2" borderId="64" xfId="0" applyNumberFormat="1" applyFont="1" applyFill="1" applyBorder="1" applyAlignment="1" applyProtection="1">
      <alignment horizontal="center" vertical="center"/>
      <protection locked="0"/>
    </xf>
    <xf numFmtId="181" fontId="5" fillId="2" borderId="65"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2" borderId="64"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xf>
    <xf numFmtId="0" fontId="7" fillId="0" borderId="2" xfId="0" applyFont="1" applyBorder="1" applyAlignment="1" applyProtection="1">
      <alignment horizontal="center" vertical="center"/>
    </xf>
    <xf numFmtId="38" fontId="7" fillId="0" borderId="2" xfId="0" applyNumberFormat="1" applyFont="1" applyBorder="1" applyAlignment="1" applyProtection="1">
      <alignment vertical="center"/>
    </xf>
    <xf numFmtId="0" fontId="7" fillId="0" borderId="2" xfId="0" applyFont="1" applyBorder="1" applyAlignment="1" applyProtection="1">
      <alignment vertical="center"/>
    </xf>
    <xf numFmtId="0" fontId="7" fillId="0" borderId="6" xfId="0" applyFont="1" applyBorder="1" applyAlignment="1" applyProtection="1">
      <alignment vertical="center"/>
    </xf>
    <xf numFmtId="0" fontId="7" fillId="0" borderId="15" xfId="0" applyFont="1" applyBorder="1" applyAlignment="1" applyProtection="1">
      <alignment vertical="center"/>
    </xf>
    <xf numFmtId="0" fontId="7" fillId="0" borderId="11" xfId="0" applyFont="1" applyBorder="1" applyAlignment="1" applyProtection="1">
      <alignment horizontal="left" vertical="center" indent="1"/>
    </xf>
    <xf numFmtId="0" fontId="7" fillId="0" borderId="1" xfId="0" applyFont="1" applyBorder="1" applyAlignment="1" applyProtection="1">
      <alignment horizontal="left" vertical="center" indent="1"/>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 xfId="0" applyFont="1" applyBorder="1" applyAlignment="1" applyProtection="1">
      <alignment vertical="center"/>
    </xf>
    <xf numFmtId="0" fontId="7" fillId="0" borderId="4" xfId="0" applyFont="1" applyBorder="1" applyAlignment="1" applyProtection="1">
      <alignment vertical="center"/>
    </xf>
    <xf numFmtId="0" fontId="7" fillId="0" borderId="5" xfId="0" applyFont="1" applyBorder="1" applyAlignment="1" applyProtection="1">
      <alignment vertical="center"/>
    </xf>
    <xf numFmtId="0" fontId="7" fillId="0" borderId="9" xfId="0" applyFont="1" applyBorder="1" applyAlignment="1" applyProtection="1">
      <alignment vertical="center"/>
    </xf>
    <xf numFmtId="0" fontId="7" fillId="0" borderId="8" xfId="0" applyFont="1" applyBorder="1" applyAlignment="1" applyProtection="1">
      <alignment vertical="center"/>
    </xf>
    <xf numFmtId="0" fontId="7" fillId="0" borderId="10" xfId="0" applyFont="1" applyBorder="1" applyAlignment="1" applyProtection="1">
      <alignment vertical="center"/>
    </xf>
    <xf numFmtId="0" fontId="7" fillId="0" borderId="11" xfId="0" applyFont="1" applyBorder="1" applyAlignment="1" applyProtection="1">
      <alignment vertical="center"/>
    </xf>
    <xf numFmtId="0" fontId="7" fillId="0" borderId="1" xfId="0" applyFont="1" applyBorder="1" applyAlignment="1" applyProtection="1">
      <alignment vertical="center"/>
    </xf>
    <xf numFmtId="0" fontId="7" fillId="0" borderId="12" xfId="0" applyFont="1" applyBorder="1" applyAlignment="1" applyProtection="1">
      <alignment vertical="center"/>
    </xf>
    <xf numFmtId="0" fontId="7" fillId="0" borderId="9" xfId="0" applyFont="1" applyBorder="1" applyAlignment="1" applyProtection="1">
      <alignment horizontal="left" vertical="center"/>
    </xf>
    <xf numFmtId="0" fontId="7" fillId="0" borderId="8" xfId="0" applyFont="1" applyBorder="1" applyAlignment="1" applyProtection="1">
      <alignment horizontal="left" vertical="center"/>
    </xf>
    <xf numFmtId="38" fontId="7" fillId="0" borderId="6" xfId="2" applyFont="1" applyFill="1" applyBorder="1" applyAlignment="1" applyProtection="1">
      <alignment vertical="center"/>
    </xf>
    <xf numFmtId="38" fontId="7" fillId="0" borderId="67" xfId="2" applyFont="1" applyFill="1" applyBorder="1" applyAlignment="1" applyProtection="1">
      <alignment vertical="center"/>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 xfId="0" applyFont="1" applyBorder="1" applyAlignment="1" applyProtection="1">
      <alignment vertical="center" wrapText="1"/>
    </xf>
    <xf numFmtId="0" fontId="7" fillId="0" borderId="6" xfId="0" applyFont="1" applyBorder="1" applyAlignment="1" applyProtection="1">
      <alignment vertical="center" wrapText="1"/>
    </xf>
    <xf numFmtId="0" fontId="7" fillId="0" borderId="9" xfId="0" applyFont="1" applyBorder="1" applyAlignment="1" applyProtection="1">
      <alignment vertical="center" wrapText="1"/>
    </xf>
    <xf numFmtId="38" fontId="7" fillId="0" borderId="68" xfId="2" applyFont="1" applyFill="1" applyBorder="1" applyAlignment="1" applyProtection="1">
      <alignment horizontal="right" vertical="center"/>
    </xf>
    <xf numFmtId="38" fontId="7" fillId="0" borderId="69" xfId="2" applyFont="1" applyFill="1" applyBorder="1" applyAlignment="1" applyProtection="1">
      <alignment horizontal="right" vertical="center"/>
    </xf>
    <xf numFmtId="38" fontId="7" fillId="0" borderId="59" xfId="2" applyFont="1" applyFill="1" applyBorder="1" applyAlignment="1" applyProtection="1">
      <alignment horizontal="center" vertical="center" wrapText="1"/>
    </xf>
    <xf numFmtId="38" fontId="7" fillId="0" borderId="60" xfId="2" applyFont="1" applyFill="1" applyBorder="1" applyAlignment="1" applyProtection="1">
      <alignment horizontal="center" vertical="center" wrapText="1"/>
    </xf>
    <xf numFmtId="38" fontId="7" fillId="0" borderId="61" xfId="2"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5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5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15" xfId="0" applyFont="1" applyFill="1" applyBorder="1" applyAlignment="1" applyProtection="1">
      <alignment horizontal="center" vertical="center" wrapText="1"/>
    </xf>
    <xf numFmtId="38" fontId="7" fillId="0" borderId="62" xfId="2" applyFont="1" applyFill="1" applyBorder="1" applyAlignment="1" applyProtection="1">
      <alignment horizontal="center" vertical="center"/>
    </xf>
    <xf numFmtId="38" fontId="7" fillId="0" borderId="60" xfId="2" applyFont="1" applyFill="1" applyBorder="1" applyAlignment="1" applyProtection="1">
      <alignment horizontal="center" vertical="center"/>
    </xf>
    <xf numFmtId="38" fontId="7" fillId="0" borderId="61" xfId="2" applyFont="1" applyFill="1" applyBorder="1" applyAlignment="1" applyProtection="1">
      <alignment horizontal="center" vertical="center"/>
    </xf>
    <xf numFmtId="0" fontId="7" fillId="0" borderId="7"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9" xfId="0" applyFont="1" applyFill="1" applyBorder="1" applyAlignment="1" applyProtection="1">
      <alignment horizontal="left" vertical="center" shrinkToFit="1"/>
    </xf>
    <xf numFmtId="0" fontId="7" fillId="0" borderId="8"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38" fontId="7" fillId="0" borderId="6" xfId="2" applyFont="1" applyFill="1" applyBorder="1" applyAlignment="1" applyProtection="1">
      <alignment vertical="center" wrapText="1"/>
    </xf>
    <xf numFmtId="38" fontId="7" fillId="0" borderId="7" xfId="2" applyFont="1" applyFill="1" applyBorder="1" applyAlignment="1" applyProtection="1">
      <alignment vertical="center" wrapText="1"/>
    </xf>
    <xf numFmtId="0" fontId="7" fillId="0" borderId="11" xfId="0" applyFont="1" applyFill="1" applyBorder="1" applyAlignment="1" applyProtection="1">
      <alignment horizontal="left" vertical="center" indent="1" shrinkToFit="1"/>
    </xf>
    <xf numFmtId="0" fontId="7" fillId="0" borderId="1" xfId="0" applyFont="1" applyFill="1" applyBorder="1" applyAlignment="1" applyProtection="1">
      <alignment horizontal="left" vertical="center" indent="1" shrinkToFit="1"/>
    </xf>
    <xf numFmtId="0" fontId="7" fillId="0" borderId="12" xfId="0" applyFont="1" applyFill="1" applyBorder="1" applyAlignment="1" applyProtection="1">
      <alignment horizontal="left" vertical="center" indent="1" shrinkToFit="1"/>
    </xf>
    <xf numFmtId="0" fontId="7" fillId="0" borderId="9"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indent="1"/>
    </xf>
    <xf numFmtId="0" fontId="7" fillId="0" borderId="1" xfId="0" applyFont="1" applyFill="1" applyBorder="1" applyAlignment="1" applyProtection="1">
      <alignment horizontal="left" vertical="center" wrapText="1" indent="1"/>
    </xf>
    <xf numFmtId="0" fontId="7" fillId="0" borderId="12" xfId="0" applyFont="1" applyFill="1" applyBorder="1" applyAlignment="1" applyProtection="1">
      <alignment horizontal="left" vertical="center" wrapText="1" indent="1"/>
    </xf>
    <xf numFmtId="0" fontId="7" fillId="0" borderId="9"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11" xfId="0" applyFont="1" applyFill="1" applyBorder="1" applyAlignment="1" applyProtection="1">
      <alignment vertical="center"/>
    </xf>
    <xf numFmtId="0" fontId="7" fillId="0" borderId="1" xfId="0" applyFont="1" applyFill="1" applyBorder="1" applyAlignment="1" applyProtection="1">
      <alignment vertical="center"/>
    </xf>
    <xf numFmtId="0" fontId="7" fillId="0" borderId="12" xfId="0" applyFont="1" applyFill="1" applyBorder="1" applyAlignment="1" applyProtection="1">
      <alignment vertical="center"/>
    </xf>
    <xf numFmtId="38" fontId="7" fillId="0" borderId="6" xfId="2" applyFont="1" applyFill="1" applyBorder="1" applyAlignment="1" applyProtection="1">
      <alignment horizontal="right" vertical="center" wrapText="1"/>
    </xf>
    <xf numFmtId="38" fontId="7" fillId="0" borderId="7" xfId="2" applyFont="1" applyFill="1" applyBorder="1" applyAlignment="1" applyProtection="1">
      <alignment horizontal="right" vertical="center" wrapText="1"/>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3"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58" xfId="0" applyFont="1" applyFill="1" applyBorder="1" applyAlignment="1" applyProtection="1">
      <alignment horizontal="left" vertical="center"/>
    </xf>
    <xf numFmtId="0" fontId="7" fillId="0" borderId="3" xfId="0" applyFont="1" applyBorder="1" applyAlignment="1" applyProtection="1">
      <alignment vertical="center" wrapText="1"/>
    </xf>
    <xf numFmtId="0" fontId="18" fillId="0" borderId="6"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38" fontId="18" fillId="0" borderId="9" xfId="2" applyFont="1" applyBorder="1" applyAlignment="1" applyProtection="1">
      <alignment horizontal="center" vertical="center" wrapText="1"/>
    </xf>
    <xf numFmtId="38" fontId="18" fillId="0" borderId="8" xfId="2" applyFont="1" applyBorder="1" applyAlignment="1" applyProtection="1">
      <alignment horizontal="center" vertical="center" wrapText="1"/>
    </xf>
    <xf numFmtId="38" fontId="18" fillId="0" borderId="10" xfId="2" applyFont="1" applyBorder="1" applyAlignment="1" applyProtection="1">
      <alignment horizontal="center" vertical="center" wrapText="1"/>
    </xf>
    <xf numFmtId="38" fontId="18" fillId="0" borderId="13" xfId="2" applyFont="1" applyBorder="1" applyAlignment="1" applyProtection="1">
      <alignment horizontal="center" vertical="center" wrapText="1"/>
    </xf>
    <xf numFmtId="38" fontId="18" fillId="0" borderId="0" xfId="2" applyFont="1" applyBorder="1" applyAlignment="1" applyProtection="1">
      <alignment horizontal="center" vertical="center" wrapText="1"/>
    </xf>
    <xf numFmtId="38" fontId="18" fillId="0" borderId="14" xfId="2" applyFont="1" applyBorder="1" applyAlignment="1" applyProtection="1">
      <alignment horizontal="center" vertical="center" wrapText="1"/>
    </xf>
    <xf numFmtId="38" fontId="18" fillId="0" borderId="3" xfId="2" applyFont="1" applyBorder="1" applyAlignment="1" applyProtection="1">
      <alignment vertical="center" shrinkToFit="1"/>
      <protection locked="0"/>
    </xf>
    <xf numFmtId="38" fontId="18" fillId="0" borderId="5" xfId="2" applyFont="1" applyBorder="1" applyAlignment="1" applyProtection="1">
      <alignment vertical="center" shrinkToFit="1"/>
      <protection locked="0"/>
    </xf>
    <xf numFmtId="0" fontId="18" fillId="0" borderId="6"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6" xfId="0" applyFont="1" applyBorder="1" applyAlignment="1" applyProtection="1">
      <alignment horizontal="center" vertical="center" shrinkToFit="1"/>
    </xf>
    <xf numFmtId="0" fontId="18" fillId="0" borderId="15" xfId="0" applyFont="1" applyBorder="1" applyAlignment="1" applyProtection="1">
      <alignment horizontal="center" vertical="center" shrinkToFit="1"/>
    </xf>
    <xf numFmtId="0" fontId="18" fillId="0" borderId="7" xfId="0" applyFont="1" applyBorder="1" applyAlignment="1" applyProtection="1">
      <alignment horizontal="center" vertical="center" shrinkToFit="1"/>
    </xf>
    <xf numFmtId="0" fontId="18" fillId="0" borderId="2" xfId="0" applyFont="1" applyBorder="1" applyAlignment="1" applyProtection="1">
      <alignment horizontal="center" vertical="center" wrapText="1"/>
    </xf>
    <xf numFmtId="0" fontId="22" fillId="0" borderId="9" xfId="3" applyFont="1" applyBorder="1" applyAlignment="1">
      <alignment horizontal="center" vertical="center"/>
    </xf>
    <xf numFmtId="0" fontId="22" fillId="0" borderId="8" xfId="3" applyFont="1" applyBorder="1" applyAlignment="1">
      <alignment horizontal="center" vertical="center"/>
    </xf>
    <xf numFmtId="0" fontId="22" fillId="0" borderId="10" xfId="3" applyFont="1" applyBorder="1" applyAlignment="1">
      <alignment horizontal="center" vertical="center"/>
    </xf>
    <xf numFmtId="0" fontId="22" fillId="0" borderId="13" xfId="3" applyFont="1" applyBorder="1" applyAlignment="1">
      <alignment horizontal="center" vertical="center"/>
    </xf>
    <xf numFmtId="0" fontId="22" fillId="0" borderId="0" xfId="3" applyFont="1" applyBorder="1" applyAlignment="1">
      <alignment horizontal="center" vertical="center"/>
    </xf>
    <xf numFmtId="0" fontId="22" fillId="0" borderId="14" xfId="3" applyFont="1" applyBorder="1" applyAlignment="1">
      <alignment horizontal="center" vertical="center"/>
    </xf>
    <xf numFmtId="0" fontId="22" fillId="0" borderId="11" xfId="3" applyFont="1" applyBorder="1" applyAlignment="1">
      <alignment horizontal="center" vertical="center"/>
    </xf>
    <xf numFmtId="0" fontId="22" fillId="0" borderId="1" xfId="3" applyFont="1" applyBorder="1" applyAlignment="1">
      <alignment horizontal="center" vertical="center"/>
    </xf>
    <xf numFmtId="0" fontId="22" fillId="0" borderId="12" xfId="3" applyFont="1" applyBorder="1" applyAlignment="1">
      <alignment horizontal="center" vertical="center"/>
    </xf>
    <xf numFmtId="191" fontId="0" fillId="0" borderId="0" xfId="0" applyNumberFormat="1" applyAlignment="1">
      <alignment horizontal="center" vertical="center"/>
    </xf>
    <xf numFmtId="0" fontId="17" fillId="0" borderId="2" xfId="0" applyFont="1" applyBorder="1" applyAlignment="1" applyProtection="1">
      <alignment vertical="center"/>
      <protection locked="0"/>
    </xf>
    <xf numFmtId="38" fontId="17" fillId="0" borderId="50" xfId="2" applyFont="1" applyBorder="1" applyAlignment="1" applyProtection="1">
      <alignment vertical="center"/>
      <protection locked="0"/>
    </xf>
  </cellXfs>
  <cellStyles count="4">
    <cellStyle name="桁区切り" xfId="2" builtinId="6"/>
    <cellStyle name="標準" xfId="0" builtinId="0"/>
    <cellStyle name="標準 2" xfId="1"/>
    <cellStyle name="標準 3" xfId="3"/>
  </cellStyles>
  <dxfs count="26">
    <dxf>
      <font>
        <color auto="1"/>
      </font>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14996795556505021"/>
        </patternFill>
      </fill>
    </dxf>
  </dxfs>
  <tableStyles count="0" defaultTableStyle="TableStyleMedium2" defaultPivotStyle="PivotStyleMedium9"/>
  <colors>
    <mruColors>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mlaLink="判定!$C$17"/>
</file>

<file path=xl/ctrlProps/ctrlProp21.xml><?xml version="1.0" encoding="utf-8"?>
<formControlPr xmlns="http://schemas.microsoft.com/office/spreadsheetml/2009/9/main" objectType="CheckBox" fmlaLink="判定!$C$18"/>
</file>

<file path=xl/ctrlProps/ctrlProp22.xml><?xml version="1.0" encoding="utf-8"?>
<formControlPr xmlns="http://schemas.microsoft.com/office/spreadsheetml/2009/9/main" objectType="CheckBox" fmlaLink="判定!$C$19"/>
</file>

<file path=xl/ctrlProps/ctrlProp23.xml><?xml version="1.0" encoding="utf-8"?>
<formControlPr xmlns="http://schemas.microsoft.com/office/spreadsheetml/2009/9/main" objectType="CheckBox" fmlaLink="判定!$C$20"/>
</file>

<file path=xl/ctrlProps/ctrlProp24.xml><?xml version="1.0" encoding="utf-8"?>
<formControlPr xmlns="http://schemas.microsoft.com/office/spreadsheetml/2009/9/main" objectType="CheckBox" fmlaLink="判定!$C$21"/>
</file>

<file path=xl/ctrlProps/ctrlProp25.xml><?xml version="1.0" encoding="utf-8"?>
<formControlPr xmlns="http://schemas.microsoft.com/office/spreadsheetml/2009/9/main" objectType="CheckBox" fmlaLink="判定!$C$22"/>
</file>

<file path=xl/ctrlProps/ctrlProp26.xml><?xml version="1.0" encoding="utf-8"?>
<formControlPr xmlns="http://schemas.microsoft.com/office/spreadsheetml/2009/9/main" objectType="CheckBox" fmlaLink="判定!$C$23"/>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mlaLink="判定!$C$10"/>
</file>

<file path=xl/ctrlProps/ctrlProp5.xml><?xml version="1.0" encoding="utf-8"?>
<formControlPr xmlns="http://schemas.microsoft.com/office/spreadsheetml/2009/9/main" objectType="CheckBox" fmlaLink="判定!$C$11"/>
</file>

<file path=xl/ctrlProps/ctrlProp6.xml><?xml version="1.0" encoding="utf-8"?>
<formControlPr xmlns="http://schemas.microsoft.com/office/spreadsheetml/2009/9/main" objectType="CheckBox" fmlaLink="判定!$C$13"/>
</file>

<file path=xl/ctrlProps/ctrlProp7.xml><?xml version="1.0" encoding="utf-8"?>
<formControlPr xmlns="http://schemas.microsoft.com/office/spreadsheetml/2009/9/main" objectType="CheckBox" fmlaLink="判定!$C$14"/>
</file>

<file path=xl/ctrlProps/ctrlProp8.xml><?xml version="1.0" encoding="utf-8"?>
<formControlPr xmlns="http://schemas.microsoft.com/office/spreadsheetml/2009/9/main" objectType="CheckBox" fmlaLink="判定!$C$2"/>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0</xdr:col>
          <xdr:colOff>247650</xdr:colOff>
          <xdr:row>48</xdr:row>
          <xdr:rowOff>222250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0</xdr:col>
          <xdr:colOff>247650</xdr:colOff>
          <xdr:row>49</xdr:row>
          <xdr:rowOff>222250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31750</xdr:rowOff>
        </xdr:from>
        <xdr:to>
          <xdr:col>0</xdr:col>
          <xdr:colOff>247650</xdr:colOff>
          <xdr:row>50</xdr:row>
          <xdr:rowOff>222250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xdr:row>
          <xdr:rowOff>25400</xdr:rowOff>
        </xdr:from>
        <xdr:to>
          <xdr:col>6</xdr:col>
          <xdr:colOff>304800</xdr:colOff>
          <xdr:row>30</xdr:row>
          <xdr:rowOff>241300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xdr:row>
          <xdr:rowOff>31750</xdr:rowOff>
        </xdr:from>
        <xdr:to>
          <xdr:col>6</xdr:col>
          <xdr:colOff>304800</xdr:colOff>
          <xdr:row>31</xdr:row>
          <xdr:rowOff>247650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32</xdr:row>
          <xdr:rowOff>0</xdr:rowOff>
        </xdr:from>
        <xdr:to>
          <xdr:col>6</xdr:col>
          <xdr:colOff>304800</xdr:colOff>
          <xdr:row>32</xdr:row>
          <xdr:rowOff>215900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33</xdr:row>
          <xdr:rowOff>19050</xdr:rowOff>
        </xdr:from>
        <xdr:to>
          <xdr:col>6</xdr:col>
          <xdr:colOff>304800</xdr:colOff>
          <xdr:row>33</xdr:row>
          <xdr:rowOff>234950</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28</xdr:row>
          <xdr:rowOff>12700</xdr:rowOff>
        </xdr:from>
        <xdr:to>
          <xdr:col>6</xdr:col>
          <xdr:colOff>304800</xdr:colOff>
          <xdr:row>28</xdr:row>
          <xdr:rowOff>228600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xdr:row>
          <xdr:rowOff>12700</xdr:rowOff>
        </xdr:from>
        <xdr:to>
          <xdr:col>6</xdr:col>
          <xdr:colOff>304800</xdr:colOff>
          <xdr:row>29</xdr:row>
          <xdr:rowOff>228600</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31750</xdr:rowOff>
        </xdr:from>
        <xdr:to>
          <xdr:col>0</xdr:col>
          <xdr:colOff>247650</xdr:colOff>
          <xdr:row>60</xdr:row>
          <xdr:rowOff>222250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xdr:row>
          <xdr:rowOff>31750</xdr:rowOff>
        </xdr:from>
        <xdr:to>
          <xdr:col>0</xdr:col>
          <xdr:colOff>247650</xdr:colOff>
          <xdr:row>59</xdr:row>
          <xdr:rowOff>222250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57</xdr:row>
          <xdr:rowOff>31750</xdr:rowOff>
        </xdr:from>
        <xdr:to>
          <xdr:col>0</xdr:col>
          <xdr:colOff>247650</xdr:colOff>
          <xdr:row>57</xdr:row>
          <xdr:rowOff>222250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31750</xdr:rowOff>
        </xdr:from>
        <xdr:to>
          <xdr:col>0</xdr:col>
          <xdr:colOff>247650</xdr:colOff>
          <xdr:row>56</xdr:row>
          <xdr:rowOff>222250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55</xdr:row>
          <xdr:rowOff>31750</xdr:rowOff>
        </xdr:from>
        <xdr:to>
          <xdr:col>0</xdr:col>
          <xdr:colOff>247650</xdr:colOff>
          <xdr:row>55</xdr:row>
          <xdr:rowOff>222250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xdr:row>
          <xdr:rowOff>31750</xdr:rowOff>
        </xdr:from>
        <xdr:to>
          <xdr:col>0</xdr:col>
          <xdr:colOff>247650</xdr:colOff>
          <xdr:row>53</xdr:row>
          <xdr:rowOff>222250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xdr:row>
          <xdr:rowOff>31750</xdr:rowOff>
        </xdr:from>
        <xdr:to>
          <xdr:col>0</xdr:col>
          <xdr:colOff>247650</xdr:colOff>
          <xdr:row>52</xdr:row>
          <xdr:rowOff>222250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31750</xdr:rowOff>
        </xdr:from>
        <xdr:to>
          <xdr:col>0</xdr:col>
          <xdr:colOff>247650</xdr:colOff>
          <xdr:row>51</xdr:row>
          <xdr:rowOff>222250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31750</xdr:rowOff>
        </xdr:from>
        <xdr:to>
          <xdr:col>0</xdr:col>
          <xdr:colOff>247650</xdr:colOff>
          <xdr:row>58</xdr:row>
          <xdr:rowOff>222250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31750</xdr:rowOff>
        </xdr:from>
        <xdr:to>
          <xdr:col>0</xdr:col>
          <xdr:colOff>247650</xdr:colOff>
          <xdr:row>54</xdr:row>
          <xdr:rowOff>222250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34</xdr:row>
          <xdr:rowOff>31750</xdr:rowOff>
        </xdr:from>
        <xdr:to>
          <xdr:col>6</xdr:col>
          <xdr:colOff>304800</xdr:colOff>
          <xdr:row>34</xdr:row>
          <xdr:rowOff>247650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35</xdr:row>
          <xdr:rowOff>31750</xdr:rowOff>
        </xdr:from>
        <xdr:to>
          <xdr:col>6</xdr:col>
          <xdr:colOff>304800</xdr:colOff>
          <xdr:row>35</xdr:row>
          <xdr:rowOff>247650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xdr:row>
          <xdr:rowOff>31750</xdr:rowOff>
        </xdr:from>
        <xdr:to>
          <xdr:col>6</xdr:col>
          <xdr:colOff>304800</xdr:colOff>
          <xdr:row>36</xdr:row>
          <xdr:rowOff>247650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37</xdr:row>
          <xdr:rowOff>31750</xdr:rowOff>
        </xdr:from>
        <xdr:to>
          <xdr:col>6</xdr:col>
          <xdr:colOff>304800</xdr:colOff>
          <xdr:row>37</xdr:row>
          <xdr:rowOff>247650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38</xdr:row>
          <xdr:rowOff>31750</xdr:rowOff>
        </xdr:from>
        <xdr:to>
          <xdr:col>6</xdr:col>
          <xdr:colOff>304800</xdr:colOff>
          <xdr:row>38</xdr:row>
          <xdr:rowOff>247650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39</xdr:row>
          <xdr:rowOff>25400</xdr:rowOff>
        </xdr:from>
        <xdr:to>
          <xdr:col>6</xdr:col>
          <xdr:colOff>304800</xdr:colOff>
          <xdr:row>39</xdr:row>
          <xdr:rowOff>241300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40</xdr:row>
          <xdr:rowOff>31750</xdr:rowOff>
        </xdr:from>
        <xdr:to>
          <xdr:col>6</xdr:col>
          <xdr:colOff>304800</xdr:colOff>
          <xdr:row>40</xdr:row>
          <xdr:rowOff>247650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219808</xdr:colOff>
      <xdr:row>30</xdr:row>
      <xdr:rowOff>53731</xdr:rowOff>
    </xdr:from>
    <xdr:to>
      <xdr:col>19</xdr:col>
      <xdr:colOff>234462</xdr:colOff>
      <xdr:row>31</xdr:row>
      <xdr:rowOff>200269</xdr:rowOff>
    </xdr:to>
    <xdr:sp macro="" textlink="">
      <xdr:nvSpPr>
        <xdr:cNvPr id="2" name="大かっこ 1"/>
        <xdr:cNvSpPr/>
      </xdr:nvSpPr>
      <xdr:spPr>
        <a:xfrm>
          <a:off x="4967654" y="7585808"/>
          <a:ext cx="2627923" cy="4005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200270</xdr:colOff>
      <xdr:row>8</xdr:row>
      <xdr:rowOff>58614</xdr:rowOff>
    </xdr:from>
    <xdr:to>
      <xdr:col>6</xdr:col>
      <xdr:colOff>400540</xdr:colOff>
      <xdr:row>12</xdr:row>
      <xdr:rowOff>63498</xdr:rowOff>
    </xdr:to>
    <xdr:sp macro="" textlink="">
      <xdr:nvSpPr>
        <xdr:cNvPr id="3" name="正方形/長方形 2"/>
        <xdr:cNvSpPr/>
      </xdr:nvSpPr>
      <xdr:spPr>
        <a:xfrm>
          <a:off x="478693" y="1909883"/>
          <a:ext cx="3028462" cy="1118577"/>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入力に際しての注意事項</a:t>
          </a:r>
          <a:r>
            <a:rPr kumimoji="1" lang="en-US" altLang="ja-JP" sz="1100">
              <a:solidFill>
                <a:sysClr val="windowText" lastClr="000000"/>
              </a:solidFill>
            </a:rPr>
            <a:t>】</a:t>
          </a:r>
        </a:p>
        <a:p>
          <a:pPr algn="l"/>
          <a:r>
            <a:rPr kumimoji="1" lang="ja-JP" altLang="en-US" sz="1100">
              <a:solidFill>
                <a:sysClr val="windowText" lastClr="000000"/>
              </a:solidFill>
            </a:rPr>
            <a:t>・黄色のセルのみ入力してください。</a:t>
          </a:r>
          <a:endParaRPr kumimoji="1" lang="en-US" altLang="ja-JP" sz="1100">
            <a:solidFill>
              <a:sysClr val="windowText" lastClr="000000"/>
            </a:solidFill>
          </a:endParaRPr>
        </a:p>
        <a:p>
          <a:pPr algn="l"/>
          <a:r>
            <a:rPr kumimoji="1" lang="ja-JP" altLang="en-US" sz="1100">
              <a:solidFill>
                <a:sysClr val="windowText" lastClr="000000"/>
              </a:solidFill>
            </a:rPr>
            <a:t>・申請日は必ず入力してください。</a:t>
          </a:r>
          <a:endParaRPr kumimoji="1" lang="en-US" altLang="ja-JP" sz="1100">
            <a:solidFill>
              <a:sysClr val="windowText" lastClr="000000"/>
            </a:solidFill>
          </a:endParaRPr>
        </a:p>
        <a:p>
          <a:pPr algn="l"/>
          <a:r>
            <a:rPr kumimoji="1" lang="ja-JP" altLang="en-US" sz="1100">
              <a:solidFill>
                <a:sysClr val="windowText" lastClr="000000"/>
              </a:solidFill>
            </a:rPr>
            <a:t>・この注意事項は印刷されません。このまま印刷してください。</a:t>
          </a:r>
          <a:endParaRPr kumimoji="1" lang="en-US" altLang="ja-JP"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17</xdr:col>
          <xdr:colOff>127000</xdr:colOff>
          <xdr:row>23</xdr:row>
          <xdr:rowOff>25400</xdr:rowOff>
        </xdr:from>
        <xdr:to>
          <xdr:col>18</xdr:col>
          <xdr:colOff>76200</xdr:colOff>
          <xdr:row>24</xdr:row>
          <xdr:rowOff>12700</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215900</xdr:colOff>
          <xdr:row>23</xdr:row>
          <xdr:rowOff>25400</xdr:rowOff>
        </xdr:from>
        <xdr:to>
          <xdr:col>19</xdr:col>
          <xdr:colOff>165100</xdr:colOff>
          <xdr:row>24</xdr:row>
          <xdr:rowOff>12700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13</xdr:col>
      <xdr:colOff>266212</xdr:colOff>
      <xdr:row>4</xdr:row>
      <xdr:rowOff>10583</xdr:rowOff>
    </xdr:to>
    <xdr:sp macro="" textlink="">
      <xdr:nvSpPr>
        <xdr:cNvPr id="2" name="正方形/長方形 1"/>
        <xdr:cNvSpPr/>
      </xdr:nvSpPr>
      <xdr:spPr>
        <a:xfrm>
          <a:off x="3376083" y="0"/>
          <a:ext cx="4425462" cy="746125"/>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ysClr val="windowText" lastClr="000000"/>
              </a:solidFill>
            </a:rPr>
            <a:t>【</a:t>
          </a:r>
          <a:r>
            <a:rPr kumimoji="1" lang="ja-JP" altLang="en-US" sz="1100">
              <a:solidFill>
                <a:sysClr val="windowText" lastClr="000000"/>
              </a:solidFill>
            </a:rPr>
            <a:t>注意事項</a:t>
          </a:r>
          <a:r>
            <a:rPr kumimoji="1" lang="en-US" altLang="ja-JP" sz="1100">
              <a:solidFill>
                <a:sysClr val="windowText" lastClr="000000"/>
              </a:solidFill>
            </a:rPr>
            <a:t>】</a:t>
          </a:r>
        </a:p>
        <a:p>
          <a:pPr algn="l"/>
          <a:r>
            <a:rPr kumimoji="1" lang="ja-JP" altLang="en-US" sz="1100">
              <a:solidFill>
                <a:sysClr val="windowText" lastClr="000000"/>
              </a:solidFill>
            </a:rPr>
            <a:t>・このシートは入力は不要です。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・第１号様式、第１－２号様式を入力した後に印刷してください。</a:t>
          </a:r>
          <a:endParaRPr kumimoji="1" lang="en-US" altLang="ja-JP" sz="1100">
            <a:solidFill>
              <a:sysClr val="windowText" lastClr="000000"/>
            </a:solidFill>
          </a:endParaRPr>
        </a:p>
        <a:p>
          <a:pPr algn="l"/>
          <a:r>
            <a:rPr kumimoji="1" lang="ja-JP" altLang="en-US" sz="1100">
              <a:solidFill>
                <a:sysClr val="windowText" lastClr="000000"/>
              </a:solidFill>
            </a:rPr>
            <a:t>・この注意事項は印刷されません。このまま印刷してください。</a:t>
          </a:r>
          <a:endParaRPr kumimoji="1" lang="en-US" altLang="ja-JP" sz="11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0</xdr:rowOff>
    </xdr:from>
    <xdr:to>
      <xdr:col>19</xdr:col>
      <xdr:colOff>0</xdr:colOff>
      <xdr:row>9</xdr:row>
      <xdr:rowOff>0</xdr:rowOff>
    </xdr:to>
    <xdr:sp macro="" textlink="">
      <xdr:nvSpPr>
        <xdr:cNvPr id="2" name="正方形/長方形 1"/>
        <xdr:cNvSpPr/>
      </xdr:nvSpPr>
      <xdr:spPr>
        <a:xfrm>
          <a:off x="6546850" y="0"/>
          <a:ext cx="6896100" cy="15303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入力に際しての注意事項</a:t>
          </a:r>
          <a:r>
            <a:rPr kumimoji="1" lang="en-US" altLang="ja-JP" sz="1100">
              <a:solidFill>
                <a:sysClr val="windowText" lastClr="000000"/>
              </a:solidFill>
            </a:rPr>
            <a:t>】</a:t>
          </a:r>
        </a:p>
        <a:p>
          <a:pPr algn="l"/>
          <a:r>
            <a:rPr kumimoji="1" lang="ja-JP" altLang="en-US" sz="1100">
              <a:solidFill>
                <a:sysClr val="windowText" lastClr="000000"/>
              </a:solidFill>
            </a:rPr>
            <a:t>・行、列の追加・削除はしないでください。</a:t>
          </a:r>
          <a:endParaRPr kumimoji="1" lang="en-US" altLang="ja-JP" sz="1100">
            <a:solidFill>
              <a:sysClr val="windowText" lastClr="000000"/>
            </a:solidFill>
          </a:endParaRPr>
        </a:p>
        <a:p>
          <a:pPr algn="l"/>
          <a:r>
            <a:rPr kumimoji="1" lang="ja-JP" altLang="en-US" sz="1100">
              <a:solidFill>
                <a:sysClr val="windowText" lastClr="000000"/>
              </a:solidFill>
            </a:rPr>
            <a:t>・黄色のセルのみ入力してください。</a:t>
          </a:r>
          <a:endParaRPr kumimoji="1" lang="en-US" altLang="ja-JP" sz="1100">
            <a:solidFill>
              <a:sysClr val="windowText" lastClr="000000"/>
            </a:solidFill>
          </a:endParaRPr>
        </a:p>
        <a:p>
          <a:pPr algn="l"/>
          <a:r>
            <a:rPr kumimoji="1" lang="ja-JP" altLang="en-US" sz="1100">
              <a:solidFill>
                <a:sysClr val="windowText" lastClr="000000"/>
              </a:solidFill>
            </a:rPr>
            <a:t>・規模・性能・数量、使用する製品、実際の工事費の黄色で着色されたセルは必ず入力してください。</a:t>
          </a:r>
          <a:endParaRPr kumimoji="1" lang="en-US" altLang="ja-JP" sz="1100">
            <a:solidFill>
              <a:sysClr val="windowText" lastClr="000000"/>
            </a:solidFill>
          </a:endParaRPr>
        </a:p>
        <a:p>
          <a:pPr algn="l"/>
          <a:r>
            <a:rPr kumimoji="1" lang="ja-JP" altLang="en-US" sz="1100">
              <a:solidFill>
                <a:sysClr val="windowText" lastClr="000000"/>
              </a:solidFill>
            </a:rPr>
            <a:t>・性能区分については、「</a:t>
          </a:r>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性能区分について」のシートをご覧ください。</a:t>
          </a:r>
          <a:endParaRPr kumimoji="1" lang="en-US" altLang="ja-JP" sz="1100">
            <a:solidFill>
              <a:sysClr val="windowText" lastClr="000000"/>
            </a:solidFill>
          </a:endParaRPr>
        </a:p>
        <a:p>
          <a:pPr algn="l"/>
          <a:r>
            <a:rPr kumimoji="1" lang="ja-JP" altLang="en-US" sz="1100">
              <a:solidFill>
                <a:sysClr val="windowText" lastClr="000000"/>
              </a:solidFill>
            </a:rPr>
            <a:t>・実際の工事費については、「</a:t>
          </a:r>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実際の工事費算定例」のシートをご覧ください。</a:t>
          </a:r>
          <a:endParaRPr kumimoji="1" lang="en-US" altLang="ja-JP" sz="1100">
            <a:solidFill>
              <a:sysClr val="windowText" lastClr="000000"/>
            </a:solidFill>
          </a:endParaRPr>
        </a:p>
        <a:p>
          <a:pPr algn="l"/>
          <a:r>
            <a:rPr kumimoji="1" lang="ja-JP" altLang="en-US" sz="1100">
              <a:solidFill>
                <a:sysClr val="windowText" lastClr="000000"/>
              </a:solidFill>
            </a:rPr>
            <a:t>・この注意事項は印刷されません。このまま印刷してください。</a:t>
          </a:r>
          <a:endParaRPr kumimoji="1" lang="en-US" altLang="ja-JP" sz="11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49696</xdr:rowOff>
    </xdr:from>
    <xdr:to>
      <xdr:col>7</xdr:col>
      <xdr:colOff>69298</xdr:colOff>
      <xdr:row>6</xdr:row>
      <xdr:rowOff>132522</xdr:rowOff>
    </xdr:to>
    <xdr:sp macro="" textlink="">
      <xdr:nvSpPr>
        <xdr:cNvPr id="2" name="正方形/長方形 1"/>
        <xdr:cNvSpPr/>
      </xdr:nvSpPr>
      <xdr:spPr>
        <a:xfrm>
          <a:off x="662609" y="49696"/>
          <a:ext cx="3768863" cy="1076739"/>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注意事項</a:t>
          </a:r>
          <a:r>
            <a:rPr kumimoji="1" lang="en-US" altLang="ja-JP" sz="1100">
              <a:solidFill>
                <a:sysClr val="windowText" lastClr="000000"/>
              </a:solidFill>
            </a:rPr>
            <a:t>】</a:t>
          </a:r>
        </a:p>
        <a:p>
          <a:pPr algn="l"/>
          <a:r>
            <a:rPr kumimoji="1" lang="ja-JP" altLang="en-US" sz="1100">
              <a:solidFill>
                <a:sysClr val="windowText" lastClr="000000"/>
              </a:solidFill>
            </a:rPr>
            <a:t>・写真は室名、部位がわかるように撮影してください。</a:t>
          </a:r>
          <a:endParaRPr kumimoji="1" lang="en-US" altLang="ja-JP" sz="1100">
            <a:solidFill>
              <a:sysClr val="windowText" lastClr="000000"/>
            </a:solidFill>
          </a:endParaRPr>
        </a:p>
        <a:p>
          <a:pPr algn="l"/>
          <a:r>
            <a:rPr kumimoji="1" lang="ja-JP" altLang="en-US" sz="1100">
              <a:solidFill>
                <a:sysClr val="windowText" lastClr="000000"/>
              </a:solidFill>
            </a:rPr>
            <a:t>・室名・部位、改修内容を記載してください。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・ページが不足する場合は、適宜追加して使用してください。</a:t>
          </a:r>
          <a:endParaRPr kumimoji="0" lang="en-US" altLang="ja-JP" sz="1100" b="1" i="0" u="none" strike="noStrike">
            <a:solidFill>
              <a:schemeClr val="lt1"/>
            </a:solidFill>
            <a:effectLst/>
            <a:latin typeface="+mn-lt"/>
            <a:ea typeface="+mn-ea"/>
            <a:cs typeface="+mn-cs"/>
          </a:endParaRPr>
        </a:p>
        <a:p>
          <a:pPr algn="l"/>
          <a:r>
            <a:rPr kumimoji="1" lang="ja-JP" altLang="en-US" sz="1100">
              <a:solidFill>
                <a:sysClr val="windowText" lastClr="000000"/>
              </a:solidFill>
            </a:rPr>
            <a:t>・この注意事項は印刷されません。このまま印刷してください。</a:t>
          </a:r>
          <a:endParaRPr kumimoji="1" lang="en-US" altLang="ja-JP" sz="11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34192</xdr:colOff>
      <xdr:row>30</xdr:row>
      <xdr:rowOff>83039</xdr:rowOff>
    </xdr:from>
    <xdr:to>
      <xdr:col>8</xdr:col>
      <xdr:colOff>297962</xdr:colOff>
      <xdr:row>40</xdr:row>
      <xdr:rowOff>87923</xdr:rowOff>
    </xdr:to>
    <xdr:cxnSp macro="">
      <xdr:nvCxnSpPr>
        <xdr:cNvPr id="3" name="直線矢印コネクタ 2"/>
        <xdr:cNvCxnSpPr/>
      </xdr:nvCxnSpPr>
      <xdr:spPr>
        <a:xfrm>
          <a:off x="7204807" y="4254501"/>
          <a:ext cx="1089270" cy="16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14654</xdr:colOff>
      <xdr:row>39</xdr:row>
      <xdr:rowOff>97692</xdr:rowOff>
    </xdr:from>
    <xdr:to>
      <xdr:col>9</xdr:col>
      <xdr:colOff>4884</xdr:colOff>
      <xdr:row>40</xdr:row>
      <xdr:rowOff>78154</xdr:rowOff>
    </xdr:to>
    <xdr:cxnSp macro="">
      <xdr:nvCxnSpPr>
        <xdr:cNvPr id="4" name="直線矢印コネクタ 3"/>
        <xdr:cNvCxnSpPr/>
      </xdr:nvCxnSpPr>
      <xdr:spPr>
        <a:xfrm flipV="1">
          <a:off x="7536962" y="5754077"/>
          <a:ext cx="1426307" cy="1465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68385</xdr:colOff>
      <xdr:row>9</xdr:row>
      <xdr:rowOff>14653</xdr:rowOff>
    </xdr:from>
    <xdr:to>
      <xdr:col>8</xdr:col>
      <xdr:colOff>147515</xdr:colOff>
      <xdr:row>10</xdr:row>
      <xdr:rowOff>156307</xdr:rowOff>
    </xdr:to>
    <xdr:sp macro="" textlink="">
      <xdr:nvSpPr>
        <xdr:cNvPr id="9" name="右中かっこ 8"/>
        <xdr:cNvSpPr/>
      </xdr:nvSpPr>
      <xdr:spPr>
        <a:xfrm>
          <a:off x="8064500" y="1362807"/>
          <a:ext cx="79130" cy="307731"/>
        </a:xfrm>
        <a:prstGeom prst="rightBrace">
          <a:avLst>
            <a:gd name="adj1" fmla="val 8333"/>
            <a:gd name="adj2" fmla="val 1956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58615</xdr:colOff>
      <xdr:row>12</xdr:row>
      <xdr:rowOff>4885</xdr:rowOff>
    </xdr:from>
    <xdr:to>
      <xdr:col>8</xdr:col>
      <xdr:colOff>148981</xdr:colOff>
      <xdr:row>14</xdr:row>
      <xdr:rowOff>146539</xdr:rowOff>
    </xdr:to>
    <xdr:sp macro="" textlink="">
      <xdr:nvSpPr>
        <xdr:cNvPr id="10" name="右中かっこ 9"/>
        <xdr:cNvSpPr/>
      </xdr:nvSpPr>
      <xdr:spPr>
        <a:xfrm>
          <a:off x="8054730" y="2017347"/>
          <a:ext cx="90366" cy="473807"/>
        </a:xfrm>
        <a:prstGeom prst="rightBrace">
          <a:avLst>
            <a:gd name="adj1" fmla="val 8333"/>
            <a:gd name="adj2" fmla="val 1956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68385</xdr:colOff>
      <xdr:row>23</xdr:row>
      <xdr:rowOff>19539</xdr:rowOff>
    </xdr:from>
    <xdr:to>
      <xdr:col>8</xdr:col>
      <xdr:colOff>152401</xdr:colOff>
      <xdr:row>25</xdr:row>
      <xdr:rowOff>161193</xdr:rowOff>
    </xdr:to>
    <xdr:sp macro="" textlink="">
      <xdr:nvSpPr>
        <xdr:cNvPr id="12" name="右中かっこ 11"/>
        <xdr:cNvSpPr/>
      </xdr:nvSpPr>
      <xdr:spPr>
        <a:xfrm>
          <a:off x="8064500" y="3360616"/>
          <a:ext cx="84016" cy="473808"/>
        </a:xfrm>
        <a:prstGeom prst="rightBrace">
          <a:avLst>
            <a:gd name="adj1" fmla="val 8333"/>
            <a:gd name="adj2" fmla="val 18534"/>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517768</xdr:colOff>
      <xdr:row>25</xdr:row>
      <xdr:rowOff>131884</xdr:rowOff>
    </xdr:from>
    <xdr:to>
      <xdr:col>11</xdr:col>
      <xdr:colOff>595923</xdr:colOff>
      <xdr:row>27</xdr:row>
      <xdr:rowOff>30816</xdr:rowOff>
    </xdr:to>
    <xdr:sp macro="" textlink="">
      <xdr:nvSpPr>
        <xdr:cNvPr id="7" name="角丸四角形吹き出し 6"/>
        <xdr:cNvSpPr/>
      </xdr:nvSpPr>
      <xdr:spPr>
        <a:xfrm>
          <a:off x="8826499" y="4303346"/>
          <a:ext cx="1519116" cy="231085"/>
        </a:xfrm>
        <a:prstGeom prst="wedgeRoundRectCallout">
          <a:avLst>
            <a:gd name="adj1" fmla="val 14239"/>
            <a:gd name="adj2" fmla="val -160662"/>
            <a:gd name="adj3" fmla="val 16667"/>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実際の工事費と一致</a:t>
          </a:r>
        </a:p>
      </xdr:txBody>
    </xdr:sp>
    <xdr:clientData/>
  </xdr:twoCellAnchor>
  <xdr:twoCellAnchor>
    <xdr:from>
      <xdr:col>10</xdr:col>
      <xdr:colOff>229578</xdr:colOff>
      <xdr:row>10</xdr:row>
      <xdr:rowOff>9769</xdr:rowOff>
    </xdr:from>
    <xdr:to>
      <xdr:col>11</xdr:col>
      <xdr:colOff>210039</xdr:colOff>
      <xdr:row>10</xdr:row>
      <xdr:rowOff>9769</xdr:rowOff>
    </xdr:to>
    <xdr:cxnSp macro="">
      <xdr:nvCxnSpPr>
        <xdr:cNvPr id="5" name="直線コネクタ 4"/>
        <xdr:cNvCxnSpPr/>
      </xdr:nvCxnSpPr>
      <xdr:spPr>
        <a:xfrm>
          <a:off x="9368693" y="1690077"/>
          <a:ext cx="591038"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258885</xdr:colOff>
      <xdr:row>13</xdr:row>
      <xdr:rowOff>9770</xdr:rowOff>
    </xdr:from>
    <xdr:to>
      <xdr:col>11</xdr:col>
      <xdr:colOff>239346</xdr:colOff>
      <xdr:row>13</xdr:row>
      <xdr:rowOff>9770</xdr:rowOff>
    </xdr:to>
    <xdr:cxnSp macro="">
      <xdr:nvCxnSpPr>
        <xdr:cNvPr id="11" name="直線コネクタ 10"/>
        <xdr:cNvCxnSpPr/>
      </xdr:nvCxnSpPr>
      <xdr:spPr>
        <a:xfrm>
          <a:off x="9398000" y="2188308"/>
          <a:ext cx="591038"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337039</xdr:colOff>
      <xdr:row>24</xdr:row>
      <xdr:rowOff>9769</xdr:rowOff>
    </xdr:from>
    <xdr:to>
      <xdr:col>11</xdr:col>
      <xdr:colOff>317500</xdr:colOff>
      <xdr:row>24</xdr:row>
      <xdr:rowOff>9769</xdr:rowOff>
    </xdr:to>
    <xdr:cxnSp macro="">
      <xdr:nvCxnSpPr>
        <xdr:cNvPr id="13" name="直線コネクタ 12"/>
        <xdr:cNvCxnSpPr/>
      </xdr:nvCxnSpPr>
      <xdr:spPr>
        <a:xfrm>
          <a:off x="9476154" y="4015154"/>
          <a:ext cx="591038"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200269</xdr:colOff>
      <xdr:row>4</xdr:row>
      <xdr:rowOff>73270</xdr:rowOff>
    </xdr:from>
    <xdr:to>
      <xdr:col>12</xdr:col>
      <xdr:colOff>97692</xdr:colOff>
      <xdr:row>42</xdr:row>
      <xdr:rowOff>141654</xdr:rowOff>
    </xdr:to>
    <xdr:sp macro="" textlink="">
      <xdr:nvSpPr>
        <xdr:cNvPr id="6" name="正方形/長方形 5"/>
        <xdr:cNvSpPr/>
      </xdr:nvSpPr>
      <xdr:spPr>
        <a:xfrm>
          <a:off x="8196384" y="747347"/>
          <a:ext cx="2261577" cy="6389076"/>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200268</xdr:colOff>
      <xdr:row>44</xdr:row>
      <xdr:rowOff>73269</xdr:rowOff>
    </xdr:from>
    <xdr:to>
      <xdr:col>12</xdr:col>
      <xdr:colOff>522654</xdr:colOff>
      <xdr:row>46</xdr:row>
      <xdr:rowOff>4884</xdr:rowOff>
    </xdr:to>
    <xdr:sp macro="" textlink="">
      <xdr:nvSpPr>
        <xdr:cNvPr id="14" name="角丸四角形吹き出し 13"/>
        <xdr:cNvSpPr/>
      </xdr:nvSpPr>
      <xdr:spPr>
        <a:xfrm>
          <a:off x="8196383" y="7405077"/>
          <a:ext cx="2686540" cy="263769"/>
        </a:xfrm>
        <a:prstGeom prst="wedgeRoundRectCallout">
          <a:avLst>
            <a:gd name="adj1" fmla="val -31480"/>
            <a:gd name="adj2" fmla="val -151926"/>
            <a:gd name="adj3" fmla="val 16667"/>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計算過程がわかるように記載（手書き可）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F45"/>
  <sheetViews>
    <sheetView workbookViewId="0">
      <selection activeCell="AZ9" sqref="AZ9"/>
    </sheetView>
  </sheetViews>
  <sheetFormatPr defaultColWidth="9" defaultRowHeight="13" x14ac:dyDescent="0.2"/>
  <cols>
    <col min="1" max="1" width="9" style="106"/>
    <col min="2" max="2" width="15.7265625" style="106" bestFit="1" customWidth="1"/>
    <col min="3" max="4" width="11" style="106" bestFit="1" customWidth="1"/>
    <col min="5" max="5" width="11.08984375" style="106" bestFit="1" customWidth="1"/>
    <col min="6" max="6" width="9" style="106" bestFit="1" customWidth="1"/>
    <col min="7" max="7" width="9" style="106"/>
    <col min="8" max="8" width="11.08984375" style="106" bestFit="1" customWidth="1"/>
    <col min="9" max="11" width="9" style="106"/>
    <col min="12" max="12" width="35.81640625" style="106" bestFit="1" customWidth="1"/>
    <col min="13" max="16384" width="9" style="106"/>
  </cols>
  <sheetData>
    <row r="1" spans="2:32" x14ac:dyDescent="0.2">
      <c r="K1" s="106" t="s">
        <v>196</v>
      </c>
      <c r="N1" s="106" t="s">
        <v>197</v>
      </c>
      <c r="Y1" s="127" t="str">
        <f>$L$2</f>
        <v>ガラス交換</v>
      </c>
      <c r="Z1" s="127" t="str">
        <f>$L$3</f>
        <v>外窓交換</v>
      </c>
      <c r="AA1" s="127" t="str">
        <f>$L$4</f>
        <v>内窓設置</v>
      </c>
      <c r="AB1" s="127" t="str">
        <f>$L$5</f>
        <v>ドア交換【開戸】</v>
      </c>
      <c r="AC1" s="127" t="str">
        <f>$L$6</f>
        <v>ドア交換【引戸】</v>
      </c>
      <c r="AD1" s="127" t="str">
        <f>$L$7</f>
        <v>外壁断熱</v>
      </c>
      <c r="AE1" s="127" t="str">
        <f>$L$8</f>
        <v>屋根・天井断熱</v>
      </c>
      <c r="AF1" s="127" t="str">
        <f>$L$9</f>
        <v>床断熱</v>
      </c>
    </row>
    <row r="2" spans="2:32" x14ac:dyDescent="0.2">
      <c r="B2" s="107" t="s">
        <v>145</v>
      </c>
      <c r="C2" s="604" t="b">
        <v>0</v>
      </c>
      <c r="H2" s="106" t="s">
        <v>149</v>
      </c>
      <c r="K2" s="107" t="s">
        <v>62</v>
      </c>
      <c r="L2" s="127" t="s">
        <v>49</v>
      </c>
      <c r="N2" s="345" t="str">
        <f>$L$2</f>
        <v>ガラス交換</v>
      </c>
      <c r="O2" s="345"/>
      <c r="P2" s="345" t="str">
        <f>$L$3</f>
        <v>外窓交換</v>
      </c>
      <c r="Q2" s="345"/>
      <c r="R2" s="345" t="str">
        <f>$L$4</f>
        <v>内窓設置</v>
      </c>
      <c r="S2" s="345"/>
      <c r="T2" s="345" t="str">
        <f>$L$5</f>
        <v>ドア交換【開戸】</v>
      </c>
      <c r="U2" s="345"/>
      <c r="V2" s="345" t="str">
        <f>$L$6</f>
        <v>ドア交換【引戸】</v>
      </c>
      <c r="W2" s="345"/>
      <c r="Y2" s="127" t="s">
        <v>168</v>
      </c>
      <c r="Z2" s="127" t="s">
        <v>168</v>
      </c>
      <c r="AA2" s="127" t="s">
        <v>168</v>
      </c>
      <c r="AB2" s="127" t="s">
        <v>168</v>
      </c>
      <c r="AC2" s="127" t="s">
        <v>168</v>
      </c>
      <c r="AD2" s="127" t="s">
        <v>173</v>
      </c>
      <c r="AE2" s="127" t="s">
        <v>173</v>
      </c>
      <c r="AF2" s="127" t="s">
        <v>173</v>
      </c>
    </row>
    <row r="3" spans="2:32" x14ac:dyDescent="0.2">
      <c r="H3" s="102" t="s">
        <v>137</v>
      </c>
      <c r="I3" s="102" t="s">
        <v>138</v>
      </c>
      <c r="K3" s="107" t="s">
        <v>206</v>
      </c>
      <c r="L3" s="127" t="s">
        <v>169</v>
      </c>
      <c r="N3" s="127">
        <v>0.05</v>
      </c>
      <c r="O3" s="127" t="s">
        <v>340</v>
      </c>
      <c r="P3" s="127">
        <v>0.05</v>
      </c>
      <c r="Q3" s="127" t="s">
        <v>340</v>
      </c>
      <c r="R3" s="127">
        <v>0.05</v>
      </c>
      <c r="S3" s="127" t="s">
        <v>340</v>
      </c>
      <c r="T3" s="127">
        <v>0.05</v>
      </c>
      <c r="U3" s="127" t="s">
        <v>340</v>
      </c>
      <c r="V3" s="127">
        <v>0.05</v>
      </c>
      <c r="W3" s="127" t="s">
        <v>340</v>
      </c>
      <c r="Y3" s="127" t="s">
        <v>170</v>
      </c>
      <c r="Z3" s="127" t="s">
        <v>170</v>
      </c>
      <c r="AA3" s="127" t="s">
        <v>170</v>
      </c>
      <c r="AB3" s="127" t="s">
        <v>170</v>
      </c>
      <c r="AC3" s="127" t="s">
        <v>170</v>
      </c>
      <c r="AD3" s="127" t="s">
        <v>176</v>
      </c>
      <c r="AE3" s="127" t="s">
        <v>176</v>
      </c>
      <c r="AF3" s="127" t="s">
        <v>176</v>
      </c>
    </row>
    <row r="4" spans="2:32" x14ac:dyDescent="0.2">
      <c r="D4" s="107" t="s">
        <v>195</v>
      </c>
      <c r="E4" s="107" t="s">
        <v>137</v>
      </c>
      <c r="F4" s="107" t="s">
        <v>138</v>
      </c>
      <c r="H4" s="124">
        <v>88000</v>
      </c>
      <c r="I4" s="124">
        <v>112000</v>
      </c>
      <c r="K4" s="107" t="s">
        <v>207</v>
      </c>
      <c r="L4" s="127" t="s">
        <v>171</v>
      </c>
      <c r="N4" s="127">
        <v>0.1</v>
      </c>
      <c r="O4" s="127" t="s">
        <v>191</v>
      </c>
      <c r="P4" s="127">
        <v>0.2</v>
      </c>
      <c r="Q4" s="127" t="s">
        <v>191</v>
      </c>
      <c r="R4" s="127">
        <v>0.2</v>
      </c>
      <c r="S4" s="127" t="s">
        <v>191</v>
      </c>
      <c r="T4" s="127">
        <v>1</v>
      </c>
      <c r="U4" s="127" t="s">
        <v>191</v>
      </c>
      <c r="V4" s="127">
        <v>1</v>
      </c>
      <c r="W4" s="127" t="s">
        <v>191</v>
      </c>
      <c r="Y4" s="127" t="s">
        <v>172</v>
      </c>
      <c r="Z4" s="127" t="s">
        <v>172</v>
      </c>
      <c r="AA4" s="127" t="s">
        <v>172</v>
      </c>
      <c r="AB4" s="127" t="s">
        <v>172</v>
      </c>
      <c r="AC4" s="127" t="s">
        <v>172</v>
      </c>
      <c r="AD4" s="127" t="s">
        <v>178</v>
      </c>
      <c r="AE4" s="127" t="s">
        <v>178</v>
      </c>
      <c r="AF4" s="127" t="s">
        <v>178</v>
      </c>
    </row>
    <row r="5" spans="2:32" x14ac:dyDescent="0.2">
      <c r="B5" s="108" t="s">
        <v>116</v>
      </c>
      <c r="C5" s="109" t="b">
        <f>IF(様式１!$S$19=$D5,TRUE,FALSE)</f>
        <v>0</v>
      </c>
      <c r="D5" s="110">
        <v>2</v>
      </c>
      <c r="E5" s="123">
        <v>950000</v>
      </c>
      <c r="F5" s="123">
        <v>1200000</v>
      </c>
      <c r="H5" s="124">
        <v>64000</v>
      </c>
      <c r="I5" s="124">
        <v>80000</v>
      </c>
      <c r="K5" s="107" t="s">
        <v>208</v>
      </c>
      <c r="L5" s="127" t="s">
        <v>198</v>
      </c>
      <c r="N5" s="127">
        <v>0.8</v>
      </c>
      <c r="O5" s="127" t="s">
        <v>192</v>
      </c>
      <c r="P5" s="127">
        <v>1.6</v>
      </c>
      <c r="Q5" s="127" t="s">
        <v>192</v>
      </c>
      <c r="R5" s="127">
        <v>1.6</v>
      </c>
      <c r="S5" s="127" t="s">
        <v>192</v>
      </c>
      <c r="T5" s="127"/>
      <c r="U5" s="127"/>
      <c r="V5" s="127"/>
      <c r="W5" s="127"/>
      <c r="Y5" s="127" t="s">
        <v>178</v>
      </c>
      <c r="Z5" s="127" t="s">
        <v>178</v>
      </c>
      <c r="AA5" s="127" t="s">
        <v>178</v>
      </c>
      <c r="AB5" s="127" t="s">
        <v>178</v>
      </c>
      <c r="AC5" s="127" t="s">
        <v>178</v>
      </c>
      <c r="AD5" s="127" t="s">
        <v>180</v>
      </c>
      <c r="AE5" s="127" t="s">
        <v>180</v>
      </c>
      <c r="AF5" s="127" t="s">
        <v>180</v>
      </c>
    </row>
    <row r="6" spans="2:32" x14ac:dyDescent="0.2">
      <c r="C6" s="109" t="b">
        <f>IF(様式１!$S$19=$D6,TRUE,FALSE)</f>
        <v>0</v>
      </c>
      <c r="D6" s="110">
        <v>3</v>
      </c>
      <c r="E6" s="123">
        <v>950000</v>
      </c>
      <c r="F6" s="123">
        <v>1200000</v>
      </c>
      <c r="H6" s="124">
        <v>24000</v>
      </c>
      <c r="I6" s="124">
        <v>32000</v>
      </c>
      <c r="K6" s="107"/>
      <c r="L6" s="127" t="s">
        <v>199</v>
      </c>
      <c r="N6" s="127">
        <v>1.4</v>
      </c>
      <c r="O6" s="127" t="s">
        <v>193</v>
      </c>
      <c r="P6" s="127">
        <v>2.8</v>
      </c>
      <c r="Q6" s="127" t="s">
        <v>193</v>
      </c>
      <c r="R6" s="127">
        <v>2.8</v>
      </c>
      <c r="S6" s="127" t="s">
        <v>193</v>
      </c>
      <c r="T6" s="127">
        <v>1.8</v>
      </c>
      <c r="U6" s="127" t="s">
        <v>193</v>
      </c>
      <c r="V6" s="127">
        <v>3</v>
      </c>
      <c r="W6" s="127" t="s">
        <v>193</v>
      </c>
      <c r="Y6" s="127" t="s">
        <v>180</v>
      </c>
      <c r="Z6" s="127" t="s">
        <v>180</v>
      </c>
      <c r="AA6" s="127" t="s">
        <v>180</v>
      </c>
      <c r="AB6" s="127" t="s">
        <v>180</v>
      </c>
      <c r="AC6" s="127" t="s">
        <v>180</v>
      </c>
      <c r="AD6" s="127" t="s">
        <v>181</v>
      </c>
      <c r="AE6" s="127" t="s">
        <v>181</v>
      </c>
      <c r="AF6" s="127" t="s">
        <v>181</v>
      </c>
    </row>
    <row r="7" spans="2:32" x14ac:dyDescent="0.2">
      <c r="C7" s="109" t="b">
        <f>IF(様式１!$S$19=$D7,TRUE,FALSE)</f>
        <v>0</v>
      </c>
      <c r="D7" s="110">
        <v>4</v>
      </c>
      <c r="E7" s="123">
        <v>766000</v>
      </c>
      <c r="F7" s="123">
        <v>1025000</v>
      </c>
      <c r="H7" s="124">
        <v>200000</v>
      </c>
      <c r="I7" s="124">
        <v>272000</v>
      </c>
      <c r="L7" s="127" t="s">
        <v>174</v>
      </c>
      <c r="N7" s="128"/>
      <c r="O7" s="128"/>
      <c r="P7" s="128"/>
      <c r="Q7" s="128"/>
      <c r="R7" s="128"/>
      <c r="S7" s="128"/>
      <c r="T7" s="126"/>
      <c r="U7" s="126"/>
      <c r="V7" s="126"/>
      <c r="Y7" s="127" t="s">
        <v>181</v>
      </c>
      <c r="Z7" s="127" t="s">
        <v>181</v>
      </c>
      <c r="AA7" s="127" t="s">
        <v>181</v>
      </c>
      <c r="AB7" s="127" t="s">
        <v>181</v>
      </c>
      <c r="AC7" s="127" t="s">
        <v>181</v>
      </c>
      <c r="AD7" s="127" t="s">
        <v>182</v>
      </c>
      <c r="AE7" s="127" t="s">
        <v>182</v>
      </c>
      <c r="AF7" s="127" t="s">
        <v>182</v>
      </c>
    </row>
    <row r="8" spans="2:32" x14ac:dyDescent="0.2">
      <c r="C8" s="109" t="b">
        <f>IF(様式１!$S$19=$D8,TRUE,FALSE)</f>
        <v>0</v>
      </c>
      <c r="D8" s="110">
        <v>5</v>
      </c>
      <c r="E8" s="123">
        <v>766000</v>
      </c>
      <c r="F8" s="123">
        <v>1025000</v>
      </c>
      <c r="H8" s="124">
        <v>160000</v>
      </c>
      <c r="I8" s="124">
        <v>216000</v>
      </c>
      <c r="L8" s="127" t="s">
        <v>177</v>
      </c>
      <c r="N8" s="128"/>
      <c r="O8" s="128"/>
      <c r="P8" s="128"/>
      <c r="Q8" s="128"/>
      <c r="R8" s="128"/>
      <c r="S8" s="128"/>
      <c r="T8" s="126"/>
      <c r="U8" s="126"/>
      <c r="V8" s="126"/>
      <c r="Y8" s="127" t="s">
        <v>182</v>
      </c>
      <c r="Z8" s="127" t="s">
        <v>182</v>
      </c>
      <c r="AA8" s="127" t="s">
        <v>182</v>
      </c>
      <c r="AB8" s="127" t="s">
        <v>182</v>
      </c>
      <c r="AC8" s="127" t="s">
        <v>182</v>
      </c>
      <c r="AD8" s="127" t="s">
        <v>184</v>
      </c>
      <c r="AE8" s="127" t="s">
        <v>184</v>
      </c>
      <c r="AF8" s="127" t="s">
        <v>184</v>
      </c>
    </row>
    <row r="9" spans="2:32" x14ac:dyDescent="0.2">
      <c r="E9" s="129"/>
      <c r="H9" s="124">
        <v>136000</v>
      </c>
      <c r="I9" s="124">
        <v>176000</v>
      </c>
      <c r="L9" s="127" t="s">
        <v>179</v>
      </c>
      <c r="N9" s="128"/>
      <c r="O9" s="128"/>
      <c r="P9" s="128"/>
      <c r="Q9" s="128"/>
      <c r="R9" s="128"/>
      <c r="S9" s="128"/>
      <c r="T9" s="126"/>
      <c r="U9" s="126"/>
      <c r="V9" s="126"/>
      <c r="Y9" s="127" t="s">
        <v>186</v>
      </c>
      <c r="Z9" s="127" t="s">
        <v>186</v>
      </c>
      <c r="AA9" s="127" t="s">
        <v>186</v>
      </c>
      <c r="AB9" s="127" t="s">
        <v>186</v>
      </c>
      <c r="AC9" s="127" t="s">
        <v>186</v>
      </c>
    </row>
    <row r="10" spans="2:32" x14ac:dyDescent="0.2">
      <c r="B10" s="111" t="s">
        <v>117</v>
      </c>
      <c r="C10" s="109" t="b">
        <v>0</v>
      </c>
      <c r="D10" s="111" t="s">
        <v>137</v>
      </c>
      <c r="E10" s="130"/>
      <c r="H10" s="124">
        <v>296000</v>
      </c>
      <c r="I10" s="124">
        <v>392000</v>
      </c>
      <c r="L10" s="127" t="s">
        <v>101</v>
      </c>
      <c r="N10" s="128"/>
      <c r="O10" s="128"/>
      <c r="P10" s="128"/>
      <c r="Q10" s="128"/>
      <c r="R10" s="128"/>
      <c r="S10" s="128"/>
      <c r="T10" s="126"/>
      <c r="U10" s="126"/>
      <c r="V10" s="126"/>
      <c r="Y10" s="127" t="s">
        <v>188</v>
      </c>
      <c r="Z10" s="127" t="s">
        <v>188</v>
      </c>
      <c r="AA10" s="127" t="s">
        <v>188</v>
      </c>
      <c r="AB10" s="127" t="s">
        <v>188</v>
      </c>
      <c r="AC10" s="127" t="s">
        <v>188</v>
      </c>
    </row>
    <row r="11" spans="2:32" x14ac:dyDescent="0.2">
      <c r="C11" s="109" t="b">
        <v>0</v>
      </c>
      <c r="D11" s="111" t="s">
        <v>138</v>
      </c>
      <c r="H11" s="124">
        <v>256000</v>
      </c>
      <c r="I11" s="124">
        <v>344000</v>
      </c>
      <c r="L11" s="127" t="s">
        <v>102</v>
      </c>
      <c r="N11" s="128"/>
      <c r="O11" s="128"/>
      <c r="P11" s="128"/>
      <c r="Q11" s="128"/>
      <c r="R11" s="128"/>
      <c r="S11" s="128"/>
      <c r="T11" s="126"/>
      <c r="U11" s="126"/>
      <c r="V11" s="126"/>
      <c r="X11" s="126"/>
      <c r="Y11" s="126"/>
      <c r="Z11" s="128"/>
    </row>
    <row r="12" spans="2:32" x14ac:dyDescent="0.2">
      <c r="H12" s="124">
        <v>149000</v>
      </c>
      <c r="I12" s="124">
        <v>201000</v>
      </c>
      <c r="L12" s="127" t="s">
        <v>183</v>
      </c>
      <c r="N12" s="128"/>
      <c r="O12" s="128"/>
      <c r="P12" s="128"/>
      <c r="Q12" s="128"/>
      <c r="R12" s="128"/>
      <c r="S12" s="128"/>
      <c r="T12" s="126"/>
      <c r="U12" s="126"/>
      <c r="V12" s="126"/>
      <c r="X12" s="126"/>
      <c r="Y12" s="126"/>
      <c r="Z12" s="128"/>
    </row>
    <row r="13" spans="2:32" x14ac:dyDescent="0.2">
      <c r="B13" s="107" t="s">
        <v>139</v>
      </c>
      <c r="C13" s="604" t="b">
        <v>0</v>
      </c>
      <c r="D13" s="107" t="s">
        <v>140</v>
      </c>
      <c r="H13" s="124">
        <v>224000</v>
      </c>
      <c r="I13" s="124">
        <v>302000</v>
      </c>
      <c r="L13" s="127" t="s">
        <v>185</v>
      </c>
      <c r="N13" s="128"/>
      <c r="O13" s="128"/>
      <c r="P13" s="128"/>
      <c r="Q13" s="128"/>
      <c r="R13" s="128"/>
      <c r="S13" s="128"/>
      <c r="T13" s="126"/>
      <c r="U13" s="126"/>
      <c r="V13" s="126"/>
      <c r="X13" s="126"/>
      <c r="Y13" s="126"/>
      <c r="Z13" s="128"/>
    </row>
    <row r="14" spans="2:32" x14ac:dyDescent="0.2">
      <c r="C14" s="604" t="b">
        <v>0</v>
      </c>
      <c r="D14" s="107" t="s">
        <v>141</v>
      </c>
      <c r="H14" s="124">
        <v>53000</v>
      </c>
      <c r="I14" s="124">
        <v>72000</v>
      </c>
      <c r="L14" s="127" t="s">
        <v>187</v>
      </c>
      <c r="M14" s="126"/>
      <c r="N14" s="128"/>
      <c r="O14" s="128"/>
      <c r="P14" s="128"/>
      <c r="Q14" s="128"/>
      <c r="R14" s="128"/>
      <c r="S14" s="128"/>
      <c r="T14" s="126"/>
      <c r="U14" s="126"/>
      <c r="V14" s="126"/>
      <c r="X14" s="126"/>
      <c r="Y14" s="128"/>
      <c r="Z14" s="128"/>
    </row>
    <row r="15" spans="2:32" x14ac:dyDescent="0.2">
      <c r="H15" s="124">
        <v>91000</v>
      </c>
      <c r="I15" s="124">
        <v>123000</v>
      </c>
      <c r="L15" s="127" t="s">
        <v>189</v>
      </c>
      <c r="M15" s="126"/>
      <c r="N15" s="128"/>
      <c r="O15" s="128"/>
      <c r="P15" s="128"/>
      <c r="Q15" s="128"/>
      <c r="R15" s="128"/>
      <c r="S15" s="126"/>
      <c r="T15" s="126"/>
      <c r="U15" s="126"/>
      <c r="X15" s="126"/>
      <c r="Y15" s="128"/>
      <c r="Z15" s="128"/>
    </row>
    <row r="16" spans="2:32" x14ac:dyDescent="0.2">
      <c r="H16" s="124">
        <v>192000</v>
      </c>
      <c r="I16" s="124">
        <v>256000</v>
      </c>
      <c r="L16" s="127" t="s">
        <v>200</v>
      </c>
      <c r="M16" s="126"/>
      <c r="N16" s="128"/>
      <c r="O16" s="128"/>
      <c r="P16" s="128"/>
      <c r="Q16" s="128"/>
      <c r="R16" s="128"/>
      <c r="S16" s="126"/>
      <c r="T16" s="126"/>
      <c r="U16" s="126"/>
      <c r="X16" s="126"/>
      <c r="Y16" s="128"/>
      <c r="Z16" s="128"/>
    </row>
    <row r="17" spans="2:26" x14ac:dyDescent="0.2">
      <c r="B17" s="107" t="s">
        <v>240</v>
      </c>
      <c r="C17" s="604" t="b">
        <v>0</v>
      </c>
      <c r="D17" s="107" t="s">
        <v>241</v>
      </c>
      <c r="H17" s="124">
        <v>288000</v>
      </c>
      <c r="I17" s="124">
        <v>384000</v>
      </c>
      <c r="L17" s="127" t="s">
        <v>201</v>
      </c>
      <c r="M17" s="126"/>
      <c r="N17" s="128"/>
      <c r="O17" s="128"/>
      <c r="P17" s="128"/>
      <c r="Q17" s="128"/>
      <c r="R17" s="128"/>
      <c r="S17" s="126"/>
      <c r="T17" s="126"/>
      <c r="U17" s="126"/>
      <c r="Y17" s="128"/>
      <c r="Z17" s="128"/>
    </row>
    <row r="18" spans="2:26" x14ac:dyDescent="0.2">
      <c r="C18" s="604" t="b">
        <v>0</v>
      </c>
      <c r="D18" s="107" t="s">
        <v>242</v>
      </c>
      <c r="H18" s="84"/>
      <c r="I18" s="84"/>
      <c r="L18" s="127" t="s">
        <v>204</v>
      </c>
      <c r="M18" s="126"/>
      <c r="N18" s="128"/>
      <c r="O18" s="128"/>
      <c r="P18" s="128"/>
      <c r="Q18" s="128"/>
      <c r="R18" s="128"/>
      <c r="S18" s="126"/>
      <c r="T18" s="126"/>
      <c r="U18" s="126"/>
      <c r="Y18" s="128"/>
      <c r="Z18" s="128"/>
    </row>
    <row r="19" spans="2:26" x14ac:dyDescent="0.2">
      <c r="C19" s="604" t="b">
        <v>0</v>
      </c>
      <c r="D19" s="107" t="s">
        <v>243</v>
      </c>
      <c r="L19" s="127" t="s">
        <v>364</v>
      </c>
      <c r="N19" s="128"/>
      <c r="O19" s="128"/>
      <c r="P19" s="128"/>
      <c r="Q19" s="128"/>
      <c r="R19" s="128"/>
      <c r="S19" s="126"/>
      <c r="T19" s="126"/>
      <c r="U19" s="126"/>
      <c r="Y19" s="126"/>
      <c r="Z19" s="126"/>
    </row>
    <row r="20" spans="2:26" x14ac:dyDescent="0.2">
      <c r="C20" s="604" t="b">
        <v>0</v>
      </c>
      <c r="D20" s="107" t="s">
        <v>244</v>
      </c>
      <c r="L20" s="127" t="s">
        <v>205</v>
      </c>
      <c r="N20" s="126"/>
      <c r="O20" s="126"/>
      <c r="P20" s="126"/>
      <c r="Q20" s="126"/>
      <c r="R20" s="126"/>
      <c r="S20" s="126"/>
      <c r="T20" s="126"/>
      <c r="U20" s="126"/>
      <c r="Y20" s="126"/>
      <c r="Z20" s="126"/>
    </row>
    <row r="21" spans="2:26" x14ac:dyDescent="0.2">
      <c r="C21" s="604" t="b">
        <v>0</v>
      </c>
      <c r="D21" s="107" t="s">
        <v>245</v>
      </c>
      <c r="L21" s="127" t="s">
        <v>202</v>
      </c>
      <c r="N21" s="126"/>
      <c r="O21" s="126"/>
      <c r="P21" s="126"/>
      <c r="Q21" s="126"/>
      <c r="R21" s="126"/>
      <c r="S21" s="126"/>
      <c r="T21" s="126"/>
      <c r="U21" s="126"/>
      <c r="Y21" s="126"/>
      <c r="Z21" s="126"/>
    </row>
    <row r="22" spans="2:26" x14ac:dyDescent="0.2">
      <c r="C22" s="604" t="b">
        <v>0</v>
      </c>
      <c r="D22" s="107" t="s">
        <v>246</v>
      </c>
      <c r="N22" s="126"/>
      <c r="O22" s="126"/>
      <c r="P22" s="126"/>
      <c r="Q22" s="126"/>
      <c r="R22" s="126"/>
      <c r="S22" s="126"/>
      <c r="T22" s="126"/>
      <c r="U22" s="126"/>
    </row>
    <row r="23" spans="2:26" x14ac:dyDescent="0.2">
      <c r="C23" s="604" t="b">
        <v>0</v>
      </c>
      <c r="D23" s="107" t="s">
        <v>247</v>
      </c>
    </row>
    <row r="26" spans="2:26" ht="13.5" thickBot="1" x14ac:dyDescent="0.25"/>
    <row r="27" spans="2:26" ht="13.5" thickBot="1" x14ac:dyDescent="0.25">
      <c r="B27" s="106" t="s">
        <v>147</v>
      </c>
      <c r="C27" s="605" t="e">
        <f>VLOOKUP(TRUE,$C$5:$F$8,MATCH(VLOOKUP(TRUE,$C$10:$D$11,2,0),$C$4:$F$4,0),0)</f>
        <v>#N/A</v>
      </c>
    </row>
    <row r="45" spans="2:12" x14ac:dyDescent="0.2">
      <c r="B45" s="126"/>
      <c r="C45" s="126"/>
      <c r="D45" s="126"/>
      <c r="E45" s="126"/>
      <c r="F45" s="126"/>
      <c r="G45" s="126"/>
      <c r="H45" s="126"/>
      <c r="I45" s="126"/>
      <c r="J45" s="126"/>
      <c r="K45" s="126"/>
      <c r="L45" s="126"/>
    </row>
  </sheetData>
  <sheetProtection sheet="1" selectLockedCells="1" selectUnlockedCells="1"/>
  <mergeCells count="5">
    <mergeCell ref="V2:W2"/>
    <mergeCell ref="T2:U2"/>
    <mergeCell ref="R2:S2"/>
    <mergeCell ref="P2:Q2"/>
    <mergeCell ref="N2:O2"/>
  </mergeCells>
  <phoneticPr fontId="3"/>
  <dataValidations disablePrompts="1" count="1">
    <dataValidation operator="lessThan" allowBlank="1" showInputMessage="1" showErrorMessage="1" errorTitle="どちらか一方を選択してください。" sqref="F1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C166"/>
  <sheetViews>
    <sheetView view="pageBreakPreview" zoomScale="70" zoomScaleNormal="85" zoomScaleSheetLayoutView="70" workbookViewId="0">
      <selection activeCell="AZ9" sqref="AZ9"/>
    </sheetView>
  </sheetViews>
  <sheetFormatPr defaultRowHeight="14" x14ac:dyDescent="0.2"/>
  <cols>
    <col min="1" max="1" width="5.54296875" style="3" customWidth="1"/>
    <col min="2" max="11" width="5.6328125" style="3" customWidth="1"/>
    <col min="12" max="12" width="7.26953125" style="3" customWidth="1"/>
    <col min="13" max="15" width="7.7265625" style="3" customWidth="1"/>
    <col min="16" max="16" width="7.36328125" style="3" customWidth="1"/>
    <col min="17" max="23" width="7.7265625" style="3" customWidth="1"/>
    <col min="24" max="24" width="6.36328125" style="3" customWidth="1"/>
    <col min="25" max="27" width="5.6328125" style="3" customWidth="1"/>
    <col min="28" max="28" width="6" style="3" customWidth="1"/>
    <col min="29" max="31" width="5.6328125" style="3" customWidth="1"/>
    <col min="32" max="32" width="6.08984375" style="3" customWidth="1"/>
    <col min="33" max="36" width="5.6328125" style="3" customWidth="1"/>
    <col min="37" max="41" width="5.6328125" style="1" customWidth="1"/>
    <col min="42" max="42" width="10" bestFit="1" customWidth="1"/>
    <col min="43" max="43" width="10" customWidth="1"/>
    <col min="45" max="55" width="8.7265625" style="143"/>
  </cols>
  <sheetData>
    <row r="1" spans="1:55" x14ac:dyDescent="0.2">
      <c r="A1" s="2" t="s">
        <v>48</v>
      </c>
    </row>
    <row r="2" spans="1:55" x14ac:dyDescent="0.2">
      <c r="A2" s="3">
        <v>1</v>
      </c>
      <c r="B2" s="3">
        <v>2</v>
      </c>
      <c r="C2" s="3">
        <v>3</v>
      </c>
      <c r="D2" s="3">
        <v>4</v>
      </c>
      <c r="E2" s="3">
        <v>5</v>
      </c>
      <c r="F2" s="3">
        <v>6</v>
      </c>
      <c r="G2" s="3">
        <v>7</v>
      </c>
      <c r="H2" s="3">
        <v>8</v>
      </c>
      <c r="I2" s="3">
        <v>9</v>
      </c>
      <c r="J2" s="3">
        <v>10</v>
      </c>
      <c r="K2" s="3">
        <v>11</v>
      </c>
      <c r="L2" s="3">
        <v>12</v>
      </c>
      <c r="M2" s="3">
        <v>13</v>
      </c>
      <c r="N2" s="3">
        <v>14</v>
      </c>
      <c r="O2" s="3">
        <v>15</v>
      </c>
      <c r="P2" s="3">
        <v>16</v>
      </c>
      <c r="Q2" s="3">
        <v>17</v>
      </c>
      <c r="R2" s="3">
        <v>18</v>
      </c>
      <c r="S2" s="3">
        <v>19</v>
      </c>
      <c r="T2" s="3">
        <v>20</v>
      </c>
      <c r="U2" s="3">
        <v>21</v>
      </c>
      <c r="V2" s="3">
        <v>22</v>
      </c>
      <c r="W2" s="3">
        <v>23</v>
      </c>
      <c r="X2" s="3">
        <v>24</v>
      </c>
      <c r="Y2" s="3">
        <v>25</v>
      </c>
      <c r="Z2" s="3">
        <v>26</v>
      </c>
      <c r="AA2" s="3">
        <v>27</v>
      </c>
      <c r="AB2" s="3">
        <v>28</v>
      </c>
      <c r="AC2" s="3">
        <v>29</v>
      </c>
      <c r="AD2" s="3">
        <v>30</v>
      </c>
      <c r="AE2" s="3">
        <v>31</v>
      </c>
      <c r="AF2" s="3">
        <v>32</v>
      </c>
      <c r="AG2" s="3">
        <v>33</v>
      </c>
      <c r="AH2" s="3">
        <v>34</v>
      </c>
      <c r="AI2" s="3">
        <v>35</v>
      </c>
      <c r="AJ2" s="24"/>
      <c r="AK2" s="23"/>
      <c r="AL2" s="23"/>
      <c r="AM2" s="23"/>
      <c r="AN2" s="23"/>
      <c r="AO2" s="23"/>
    </row>
    <row r="3" spans="1:55" x14ac:dyDescent="0.2">
      <c r="AJ3" s="24"/>
      <c r="AK3" s="23"/>
      <c r="AL3" s="23"/>
      <c r="AM3" s="23"/>
      <c r="AN3" s="23"/>
      <c r="AO3" s="23"/>
    </row>
    <row r="4" spans="1:55" x14ac:dyDescent="0.2">
      <c r="A4" s="24"/>
      <c r="B4" s="350" t="s">
        <v>25</v>
      </c>
      <c r="C4" s="351"/>
      <c r="D4" s="351"/>
      <c r="E4" s="352"/>
      <c r="F4" s="350" t="s">
        <v>53</v>
      </c>
      <c r="G4" s="351"/>
      <c r="H4" s="351"/>
      <c r="I4" s="351"/>
      <c r="J4" s="351"/>
      <c r="K4" s="353"/>
      <c r="L4" s="354" t="s">
        <v>45</v>
      </c>
      <c r="M4" s="355"/>
      <c r="N4" s="355"/>
      <c r="O4" s="355"/>
      <c r="P4" s="355"/>
      <c r="Q4" s="355"/>
      <c r="R4" s="355"/>
      <c r="S4" s="355"/>
      <c r="T4" s="355"/>
      <c r="U4" s="355"/>
      <c r="V4" s="355"/>
      <c r="W4" s="356"/>
      <c r="X4" s="354" t="s">
        <v>44</v>
      </c>
      <c r="Y4" s="355"/>
      <c r="Z4" s="355"/>
      <c r="AA4" s="355"/>
      <c r="AB4" s="355"/>
      <c r="AC4" s="355"/>
      <c r="AD4" s="355"/>
      <c r="AE4" s="355"/>
      <c r="AF4" s="355"/>
      <c r="AG4" s="355"/>
      <c r="AH4" s="355"/>
      <c r="AI4" s="356"/>
      <c r="AJ4" s="25">
        <v>120</v>
      </c>
      <c r="AK4" s="25" t="s">
        <v>12</v>
      </c>
      <c r="AL4" s="23"/>
      <c r="AM4" s="23"/>
      <c r="AN4" s="23"/>
      <c r="AO4" s="23"/>
    </row>
    <row r="5" spans="1:55" x14ac:dyDescent="0.2">
      <c r="A5" s="26"/>
      <c r="B5" s="350"/>
      <c r="C5" s="351"/>
      <c r="D5" s="351"/>
      <c r="E5" s="352"/>
      <c r="F5" s="346" t="s">
        <v>30</v>
      </c>
      <c r="G5" s="347"/>
      <c r="H5" s="347" t="s">
        <v>32</v>
      </c>
      <c r="I5" s="347"/>
      <c r="J5" s="347" t="s">
        <v>33</v>
      </c>
      <c r="K5" s="348"/>
      <c r="L5" s="354" t="s">
        <v>34</v>
      </c>
      <c r="M5" s="355"/>
      <c r="N5" s="355"/>
      <c r="O5" s="356"/>
      <c r="P5" s="357" t="s">
        <v>35</v>
      </c>
      <c r="Q5" s="358"/>
      <c r="R5" s="358"/>
      <c r="S5" s="359"/>
      <c r="T5" s="357" t="s">
        <v>36</v>
      </c>
      <c r="U5" s="358"/>
      <c r="V5" s="358"/>
      <c r="W5" s="359"/>
      <c r="X5" s="360" t="s">
        <v>34</v>
      </c>
      <c r="Y5" s="361"/>
      <c r="Z5" s="361"/>
      <c r="AA5" s="362"/>
      <c r="AB5" s="363" t="s">
        <v>35</v>
      </c>
      <c r="AC5" s="364"/>
      <c r="AD5" s="364"/>
      <c r="AE5" s="365"/>
      <c r="AF5" s="363" t="s">
        <v>36</v>
      </c>
      <c r="AG5" s="364"/>
      <c r="AH5" s="364"/>
      <c r="AI5" s="365"/>
      <c r="AJ5" s="27"/>
      <c r="AK5" s="28"/>
      <c r="AL5" s="28"/>
      <c r="AM5" s="28"/>
      <c r="AN5" s="28"/>
      <c r="AO5" s="28"/>
      <c r="AS5" s="349" t="s">
        <v>211</v>
      </c>
      <c r="AT5" s="349"/>
      <c r="AU5" s="349"/>
      <c r="AV5" s="349"/>
      <c r="AW5" s="346" t="s">
        <v>30</v>
      </c>
      <c r="AX5" s="347"/>
      <c r="AY5" s="347" t="s">
        <v>32</v>
      </c>
      <c r="AZ5" s="347"/>
      <c r="BA5" s="347" t="s">
        <v>33</v>
      </c>
      <c r="BB5" s="348"/>
    </row>
    <row r="6" spans="1:55" x14ac:dyDescent="0.2">
      <c r="A6" s="27"/>
      <c r="B6" s="114" t="s">
        <v>22</v>
      </c>
      <c r="C6" s="117" t="s">
        <v>31</v>
      </c>
      <c r="D6" s="115" t="s">
        <v>51</v>
      </c>
      <c r="E6" s="29" t="s">
        <v>27</v>
      </c>
      <c r="F6" s="30" t="s">
        <v>22</v>
      </c>
      <c r="G6" s="31" t="s">
        <v>26</v>
      </c>
      <c r="H6" s="31" t="s">
        <v>22</v>
      </c>
      <c r="I6" s="31" t="s">
        <v>26</v>
      </c>
      <c r="J6" s="31" t="s">
        <v>22</v>
      </c>
      <c r="K6" s="32" t="s">
        <v>26</v>
      </c>
      <c r="L6" s="112">
        <v>2</v>
      </c>
      <c r="M6" s="33">
        <v>3</v>
      </c>
      <c r="N6" s="122">
        <v>4</v>
      </c>
      <c r="O6" s="33">
        <v>5</v>
      </c>
      <c r="P6" s="33">
        <v>2</v>
      </c>
      <c r="Q6" s="122">
        <v>3</v>
      </c>
      <c r="R6" s="122">
        <v>4</v>
      </c>
      <c r="S6" s="122">
        <v>5</v>
      </c>
      <c r="T6" s="122">
        <v>2</v>
      </c>
      <c r="U6" s="122">
        <v>3</v>
      </c>
      <c r="V6" s="122">
        <v>4</v>
      </c>
      <c r="W6" s="122">
        <v>5</v>
      </c>
      <c r="X6" s="30">
        <v>2</v>
      </c>
      <c r="Y6" s="78">
        <v>3</v>
      </c>
      <c r="Z6" s="31">
        <v>4</v>
      </c>
      <c r="AA6" s="118">
        <v>5</v>
      </c>
      <c r="AB6" s="113">
        <v>2</v>
      </c>
      <c r="AC6" s="30">
        <v>3</v>
      </c>
      <c r="AD6" s="31">
        <v>4</v>
      </c>
      <c r="AE6" s="32">
        <v>5</v>
      </c>
      <c r="AF6" s="76">
        <v>2</v>
      </c>
      <c r="AG6" s="30">
        <v>3</v>
      </c>
      <c r="AH6" s="31">
        <v>4</v>
      </c>
      <c r="AI6" s="32">
        <v>5</v>
      </c>
      <c r="AJ6" s="27"/>
      <c r="AK6" s="28"/>
      <c r="AL6" s="28"/>
      <c r="AM6" s="28"/>
      <c r="AN6" s="28"/>
      <c r="AO6" s="28"/>
      <c r="AS6" s="134" t="s">
        <v>22</v>
      </c>
      <c r="AT6" s="136" t="s">
        <v>31</v>
      </c>
      <c r="AU6" s="135" t="s">
        <v>51</v>
      </c>
      <c r="AV6" s="29" t="s">
        <v>27</v>
      </c>
      <c r="AW6" s="30" t="s">
        <v>22</v>
      </c>
      <c r="AX6" s="31" t="s">
        <v>26</v>
      </c>
      <c r="AY6" s="31" t="s">
        <v>22</v>
      </c>
      <c r="AZ6" s="31" t="s">
        <v>26</v>
      </c>
      <c r="BA6" s="31" t="s">
        <v>22</v>
      </c>
      <c r="BB6" s="32" t="s">
        <v>26</v>
      </c>
    </row>
    <row r="7" spans="1:55" x14ac:dyDescent="0.2">
      <c r="A7" s="27" t="str">
        <f t="shared" ref="A7:A38" si="0">IF(OR($BC$10=$AN7,$BC$10=$AO7,$BC$10=$AP7,$BC$10=$AQ7),"★","")</f>
        <v/>
      </c>
      <c r="B7" s="30" t="s">
        <v>29</v>
      </c>
      <c r="C7" s="31" t="s">
        <v>29</v>
      </c>
      <c r="D7" s="31"/>
      <c r="E7" s="34"/>
      <c r="F7" s="30"/>
      <c r="G7" s="31"/>
      <c r="H7" s="31"/>
      <c r="I7" s="31"/>
      <c r="J7" s="31"/>
      <c r="K7" s="32"/>
      <c r="L7" s="112">
        <v>11519.267802000002</v>
      </c>
      <c r="M7" s="35">
        <v>11519.267802000002</v>
      </c>
      <c r="N7" s="35">
        <v>8833.7059999999983</v>
      </c>
      <c r="O7" s="35">
        <v>8993.522089799997</v>
      </c>
      <c r="P7" s="35">
        <v>9449.7540000000008</v>
      </c>
      <c r="Q7" s="35">
        <v>9449.7540000000008</v>
      </c>
      <c r="R7" s="35">
        <v>7020</v>
      </c>
      <c r="S7" s="35">
        <v>6194.4239999999991</v>
      </c>
      <c r="T7" s="35">
        <v>8138.8010131999981</v>
      </c>
      <c r="U7" s="35">
        <v>8138.8010131999981</v>
      </c>
      <c r="V7" s="35">
        <v>5966.5764999999992</v>
      </c>
      <c r="W7" s="35">
        <v>5461.2315506000014</v>
      </c>
      <c r="X7" s="89">
        <f t="shared" ref="X7:AI28" si="1">L7/$AJ$4</f>
        <v>95.993898350000023</v>
      </c>
      <c r="Y7" s="79">
        <f t="shared" si="1"/>
        <v>95.993898350000023</v>
      </c>
      <c r="Z7" s="37">
        <f t="shared" si="1"/>
        <v>73.61421666666665</v>
      </c>
      <c r="AA7" s="38">
        <f t="shared" si="1"/>
        <v>74.946017414999972</v>
      </c>
      <c r="AB7" s="90">
        <f t="shared" si="1"/>
        <v>78.747950000000003</v>
      </c>
      <c r="AC7" s="36">
        <f t="shared" si="1"/>
        <v>78.747950000000003</v>
      </c>
      <c r="AD7" s="37">
        <f t="shared" si="1"/>
        <v>58.5</v>
      </c>
      <c r="AE7" s="38">
        <f t="shared" si="1"/>
        <v>51.62019999999999</v>
      </c>
      <c r="AF7" s="90">
        <f t="shared" si="1"/>
        <v>67.823341776666652</v>
      </c>
      <c r="AG7" s="36">
        <f t="shared" si="1"/>
        <v>67.823341776666652</v>
      </c>
      <c r="AH7" s="37">
        <f t="shared" si="1"/>
        <v>49.721470833333328</v>
      </c>
      <c r="AI7" s="38">
        <f t="shared" si="1"/>
        <v>45.51026292166668</v>
      </c>
      <c r="AJ7" s="27"/>
      <c r="AK7" s="28"/>
      <c r="AN7" s="28">
        <v>11</v>
      </c>
      <c r="AO7" s="28" t="s">
        <v>362</v>
      </c>
      <c r="AP7" s="28" t="s">
        <v>362</v>
      </c>
      <c r="AQ7" s="28" t="s">
        <v>362</v>
      </c>
      <c r="AS7" s="134" t="str">
        <f>IF(AND(AE$72="●",AE$73="●",AE$74="●"),"●","○")</f>
        <v>○</v>
      </c>
      <c r="AT7" s="136" t="str">
        <f>IF(AND(AF$72="●",AF$73="●",AF$74="●"),"●","○")</f>
        <v>○</v>
      </c>
      <c r="AU7" s="135" t="str">
        <f>IF(AND(AG$72="●",AG$73="●",AG$74="●"),"●","○")</f>
        <v>○</v>
      </c>
      <c r="AV7" s="29" t="str">
        <f>IF(AND(AH$72="●",AH$73="●",AH$74="●"),"●","○")</f>
        <v>○</v>
      </c>
      <c r="AW7" s="30" t="str">
        <f>IF(COUNTIF($AE$76:$AE$79,"●")&gt;0,"●","○")</f>
        <v>○</v>
      </c>
      <c r="AX7" s="31" t="str">
        <f>IF((IF(AND($AE$76="●",$AF$76="●"),1,0)+IF(AND($AE$77="●",$AF$77="●"),1,0)+IF(AND($AE$78="●",$AF$78="●"),1,0)+IF(AND($AE$79="●",$AF$79="●"),1,0))&gt;0,"●","○")</f>
        <v>○</v>
      </c>
      <c r="AY7" s="31" t="str">
        <f>IF(COUNTIF($AE$76:$AE$79,"●")&gt;1,"●","○")</f>
        <v>○</v>
      </c>
      <c r="AZ7" s="31" t="str">
        <f>IF((IF(AND($AE$76="●",$AF$76="●"),1,0)+IF(AND($AE$77="●",$AF$77="●"),1,0)+IF(AND($AE$78="●",$AF$78="●"),1,0)+IF(AND($AE$79="●",$AF$79="●"),1,0))&gt;1,"●","○")</f>
        <v>○</v>
      </c>
      <c r="BA7" s="31" t="str">
        <f>IF(COUNTIF($AE$76:$AE$79,"●")&gt;2,"●","○")</f>
        <v>○</v>
      </c>
      <c r="BB7" s="32" t="str">
        <f>IF((IF(AND($AE$76="●",$AF$76="●"),1,0)+IF(AND($AE$77="●",$AF$77="●"),1,0)+IF(AND($AE$78="●",$AF$78="●"),1,0)+IF(AND($AE$79="●",$AF$79="●"),1,0))&gt;2,"●","○")</f>
        <v>○</v>
      </c>
    </row>
    <row r="8" spans="1:55" x14ac:dyDescent="0.2">
      <c r="A8" s="27" t="str">
        <f t="shared" si="0"/>
        <v/>
      </c>
      <c r="B8" s="30" t="s">
        <v>29</v>
      </c>
      <c r="C8" s="31"/>
      <c r="D8" s="31" t="s">
        <v>29</v>
      </c>
      <c r="E8" s="34"/>
      <c r="F8" s="30"/>
      <c r="G8" s="31"/>
      <c r="H8" s="31"/>
      <c r="I8" s="31"/>
      <c r="J8" s="31"/>
      <c r="K8" s="32"/>
      <c r="L8" s="112">
        <v>8544.7116203999976</v>
      </c>
      <c r="M8" s="35">
        <v>8544.7116203999976</v>
      </c>
      <c r="N8" s="35">
        <v>6575.1211999999941</v>
      </c>
      <c r="O8" s="35">
        <v>6591.9688719599944</v>
      </c>
      <c r="P8" s="35">
        <v>6942.9403999999995</v>
      </c>
      <c r="Q8" s="35">
        <v>6942.9403999999995</v>
      </c>
      <c r="R8" s="35">
        <v>5162</v>
      </c>
      <c r="S8" s="35">
        <v>4621.8127999999997</v>
      </c>
      <c r="T8" s="35">
        <v>5982.3959570400002</v>
      </c>
      <c r="U8" s="35">
        <v>5982.3959570400002</v>
      </c>
      <c r="V8" s="35">
        <v>4391.1782999999996</v>
      </c>
      <c r="W8" s="35">
        <v>4074.2509753199993</v>
      </c>
      <c r="X8" s="89">
        <f t="shared" si="1"/>
        <v>71.205930169999974</v>
      </c>
      <c r="Y8" s="79">
        <f t="shared" si="1"/>
        <v>71.205930169999974</v>
      </c>
      <c r="Z8" s="37">
        <f t="shared" si="1"/>
        <v>54.792676666666615</v>
      </c>
      <c r="AA8" s="38">
        <f t="shared" si="1"/>
        <v>54.933073932999953</v>
      </c>
      <c r="AB8" s="90">
        <f t="shared" si="1"/>
        <v>57.857836666666664</v>
      </c>
      <c r="AC8" s="36">
        <f t="shared" si="1"/>
        <v>57.857836666666664</v>
      </c>
      <c r="AD8" s="37">
        <f t="shared" si="1"/>
        <v>43.016666666666666</v>
      </c>
      <c r="AE8" s="38">
        <f t="shared" si="1"/>
        <v>38.515106666666661</v>
      </c>
      <c r="AF8" s="90">
        <f t="shared" si="1"/>
        <v>49.853299642000003</v>
      </c>
      <c r="AG8" s="36">
        <f t="shared" si="1"/>
        <v>49.853299642000003</v>
      </c>
      <c r="AH8" s="37">
        <f t="shared" si="1"/>
        <v>36.593152499999995</v>
      </c>
      <c r="AI8" s="38">
        <f t="shared" si="1"/>
        <v>33.952091460999995</v>
      </c>
      <c r="AJ8" s="27"/>
      <c r="AK8" s="28"/>
      <c r="AN8" s="28">
        <v>101</v>
      </c>
      <c r="AO8" s="334" t="s">
        <v>362</v>
      </c>
      <c r="AP8" s="334" t="s">
        <v>362</v>
      </c>
      <c r="AQ8" s="334" t="s">
        <v>362</v>
      </c>
      <c r="AS8" s="143">
        <f>IF(AS7="●",1,0)</f>
        <v>0</v>
      </c>
      <c r="AT8" s="143">
        <f t="shared" ref="AT8:BB8" si="2">IF(AT7="●",1,0)</f>
        <v>0</v>
      </c>
      <c r="AU8" s="143">
        <f t="shared" si="2"/>
        <v>0</v>
      </c>
      <c r="AV8" s="143">
        <f t="shared" si="2"/>
        <v>0</v>
      </c>
      <c r="AW8" s="143">
        <f>IF(AW7="●",1,0)</f>
        <v>0</v>
      </c>
      <c r="AX8" s="143">
        <f t="shared" si="2"/>
        <v>0</v>
      </c>
      <c r="AY8" s="143">
        <f t="shared" si="2"/>
        <v>0</v>
      </c>
      <c r="AZ8" s="143">
        <f t="shared" si="2"/>
        <v>0</v>
      </c>
      <c r="BA8" s="143">
        <f t="shared" si="2"/>
        <v>0</v>
      </c>
      <c r="BB8" s="143">
        <f t="shared" si="2"/>
        <v>0</v>
      </c>
    </row>
    <row r="9" spans="1:55" ht="14.5" thickBot="1" x14ac:dyDescent="0.25">
      <c r="A9" s="27" t="str">
        <f t="shared" si="0"/>
        <v/>
      </c>
      <c r="B9" s="30" t="s">
        <v>28</v>
      </c>
      <c r="C9" s="31"/>
      <c r="D9" s="31"/>
      <c r="E9" s="34" t="s">
        <v>29</v>
      </c>
      <c r="F9" s="30"/>
      <c r="G9" s="31"/>
      <c r="H9" s="31"/>
      <c r="I9" s="31"/>
      <c r="J9" s="31"/>
      <c r="K9" s="32"/>
      <c r="L9" s="112">
        <v>8608.7494283999986</v>
      </c>
      <c r="M9" s="35">
        <v>8608.7494283999986</v>
      </c>
      <c r="N9" s="35">
        <v>6623.7451999999976</v>
      </c>
      <c r="O9" s="35">
        <v>6643.6707711600029</v>
      </c>
      <c r="P9" s="35">
        <v>6996.9084000000003</v>
      </c>
      <c r="Q9" s="35">
        <v>6996.9084000000003</v>
      </c>
      <c r="R9" s="35">
        <v>5202</v>
      </c>
      <c r="S9" s="35">
        <v>4655.6687999999995</v>
      </c>
      <c r="T9" s="35">
        <v>6028.8201778399998</v>
      </c>
      <c r="U9" s="35">
        <v>6028.8201778399998</v>
      </c>
      <c r="V9" s="35">
        <v>4425.0943000000007</v>
      </c>
      <c r="W9" s="35">
        <v>4104.1106217200031</v>
      </c>
      <c r="X9" s="89">
        <f t="shared" si="1"/>
        <v>71.739578569999992</v>
      </c>
      <c r="Y9" s="79">
        <f t="shared" si="1"/>
        <v>71.739578569999992</v>
      </c>
      <c r="Z9" s="37">
        <f t="shared" si="1"/>
        <v>55.197876666666644</v>
      </c>
      <c r="AA9" s="38">
        <f t="shared" si="1"/>
        <v>55.363923093000025</v>
      </c>
      <c r="AB9" s="90">
        <f t="shared" si="1"/>
        <v>58.307570000000005</v>
      </c>
      <c r="AC9" s="36">
        <f t="shared" si="1"/>
        <v>58.307570000000005</v>
      </c>
      <c r="AD9" s="37">
        <f t="shared" si="1"/>
        <v>43.35</v>
      </c>
      <c r="AE9" s="38">
        <f t="shared" si="1"/>
        <v>38.797239999999995</v>
      </c>
      <c r="AF9" s="90">
        <f t="shared" si="1"/>
        <v>50.240168148666662</v>
      </c>
      <c r="AG9" s="36">
        <f t="shared" si="1"/>
        <v>50.240168148666662</v>
      </c>
      <c r="AH9" s="37">
        <f t="shared" si="1"/>
        <v>36.875785833333339</v>
      </c>
      <c r="AI9" s="38">
        <f t="shared" si="1"/>
        <v>34.200921847666692</v>
      </c>
      <c r="AJ9" s="27"/>
      <c r="AK9" s="28"/>
      <c r="AN9" s="28">
        <v>1001</v>
      </c>
      <c r="AO9" s="334" t="s">
        <v>362</v>
      </c>
      <c r="AP9" s="334" t="s">
        <v>362</v>
      </c>
      <c r="AQ9" s="334" t="s">
        <v>362</v>
      </c>
      <c r="AS9" s="143">
        <v>1</v>
      </c>
      <c r="AT9" s="143">
        <v>10</v>
      </c>
      <c r="AU9" s="143">
        <v>100</v>
      </c>
      <c r="AV9" s="143">
        <v>1000</v>
      </c>
      <c r="AW9" s="143">
        <v>10000</v>
      </c>
      <c r="AX9" s="143">
        <v>100000</v>
      </c>
      <c r="AY9" s="143">
        <v>1000000</v>
      </c>
      <c r="AZ9" s="143">
        <v>10000000</v>
      </c>
      <c r="BA9" s="143">
        <v>100000000</v>
      </c>
      <c r="BB9" s="143">
        <v>1000000000</v>
      </c>
    </row>
    <row r="10" spans="1:55" ht="14.5" thickBot="1" x14ac:dyDescent="0.25">
      <c r="A10" s="27" t="str">
        <f t="shared" si="0"/>
        <v/>
      </c>
      <c r="B10" s="30" t="s">
        <v>28</v>
      </c>
      <c r="C10" s="31" t="s">
        <v>29</v>
      </c>
      <c r="D10" s="31" t="s">
        <v>29</v>
      </c>
      <c r="E10" s="34"/>
      <c r="F10" s="30"/>
      <c r="G10" s="31"/>
      <c r="H10" s="31"/>
      <c r="I10" s="31"/>
      <c r="J10" s="31"/>
      <c r="K10" s="32"/>
      <c r="L10" s="112">
        <v>12729.582373200006</v>
      </c>
      <c r="M10" s="35">
        <v>12729.582373200006</v>
      </c>
      <c r="N10" s="35">
        <v>9752.6995999999999</v>
      </c>
      <c r="O10" s="35">
        <v>9970.6879846800002</v>
      </c>
      <c r="P10" s="35">
        <v>10469.749200000006</v>
      </c>
      <c r="Q10" s="35">
        <v>10469.749200000006</v>
      </c>
      <c r="R10" s="35">
        <v>7776</v>
      </c>
      <c r="S10" s="35">
        <v>6834.3024000000005</v>
      </c>
      <c r="T10" s="35">
        <v>9016.2187863200052</v>
      </c>
      <c r="U10" s="35">
        <v>9016.2187863200052</v>
      </c>
      <c r="V10" s="35">
        <v>6607.5889000000025</v>
      </c>
      <c r="W10" s="35">
        <v>6025.5788675600015</v>
      </c>
      <c r="X10" s="89">
        <f t="shared" si="1"/>
        <v>106.07985311000006</v>
      </c>
      <c r="Y10" s="79">
        <f t="shared" si="1"/>
        <v>106.07985311000006</v>
      </c>
      <c r="Z10" s="37">
        <f t="shared" si="1"/>
        <v>81.272496666666669</v>
      </c>
      <c r="AA10" s="38">
        <f t="shared" si="1"/>
        <v>83.089066539000001</v>
      </c>
      <c r="AB10" s="90">
        <f t="shared" si="1"/>
        <v>87.247910000000047</v>
      </c>
      <c r="AC10" s="36">
        <f t="shared" si="1"/>
        <v>87.247910000000047</v>
      </c>
      <c r="AD10" s="37">
        <f t="shared" si="1"/>
        <v>64.8</v>
      </c>
      <c r="AE10" s="38">
        <f t="shared" si="1"/>
        <v>56.952520000000007</v>
      </c>
      <c r="AF10" s="90">
        <f t="shared" si="1"/>
        <v>75.135156552666714</v>
      </c>
      <c r="AG10" s="36">
        <f t="shared" si="1"/>
        <v>75.135156552666714</v>
      </c>
      <c r="AH10" s="37">
        <f t="shared" si="1"/>
        <v>55.063240833333353</v>
      </c>
      <c r="AI10" s="38">
        <f t="shared" si="1"/>
        <v>50.213157229666677</v>
      </c>
      <c r="AJ10" s="27"/>
      <c r="AK10" s="28"/>
      <c r="AN10" s="28">
        <v>111</v>
      </c>
      <c r="AO10" s="334" t="s">
        <v>362</v>
      </c>
      <c r="AP10" s="334" t="s">
        <v>362</v>
      </c>
      <c r="AQ10" s="334" t="s">
        <v>362</v>
      </c>
      <c r="AS10" s="143">
        <f>AS8*AS9</f>
        <v>0</v>
      </c>
      <c r="AT10" s="143">
        <f t="shared" ref="AT10:BB10" si="3">AT8*AT9</f>
        <v>0</v>
      </c>
      <c r="AU10" s="143">
        <f t="shared" si="3"/>
        <v>0</v>
      </c>
      <c r="AV10" s="143">
        <f t="shared" si="3"/>
        <v>0</v>
      </c>
      <c r="AW10" s="143">
        <f t="shared" si="3"/>
        <v>0</v>
      </c>
      <c r="AX10" s="143">
        <f t="shared" si="3"/>
        <v>0</v>
      </c>
      <c r="AY10" s="143">
        <f t="shared" si="3"/>
        <v>0</v>
      </c>
      <c r="AZ10" s="143">
        <f t="shared" si="3"/>
        <v>0</v>
      </c>
      <c r="BA10" s="143">
        <f t="shared" si="3"/>
        <v>0</v>
      </c>
      <c r="BB10" s="143">
        <f t="shared" si="3"/>
        <v>0</v>
      </c>
      <c r="BC10" s="144">
        <f>SUM(AS10:BB10)</f>
        <v>0</v>
      </c>
    </row>
    <row r="11" spans="1:55" x14ac:dyDescent="0.2">
      <c r="A11" s="27" t="str">
        <f t="shared" si="0"/>
        <v/>
      </c>
      <c r="B11" s="30" t="s">
        <v>28</v>
      </c>
      <c r="C11" s="31" t="s">
        <v>29</v>
      </c>
      <c r="D11" s="31"/>
      <c r="E11" s="34" t="s">
        <v>29</v>
      </c>
      <c r="F11" s="30"/>
      <c r="G11" s="31"/>
      <c r="H11" s="31"/>
      <c r="I11" s="31"/>
      <c r="J11" s="31"/>
      <c r="K11" s="32"/>
      <c r="L11" s="112">
        <v>12843.249482400002</v>
      </c>
      <c r="M11" s="35">
        <v>12843.249482400002</v>
      </c>
      <c r="N11" s="35">
        <v>9839.0072</v>
      </c>
      <c r="O11" s="35">
        <v>10062.458855760004</v>
      </c>
      <c r="P11" s="35">
        <v>10565.542400000006</v>
      </c>
      <c r="Q11" s="35">
        <v>10565.542400000006</v>
      </c>
      <c r="R11" s="35">
        <v>7847</v>
      </c>
      <c r="S11" s="35">
        <v>6894.3967999999986</v>
      </c>
      <c r="T11" s="35">
        <v>9098.6217782400017</v>
      </c>
      <c r="U11" s="35">
        <v>9098.6217782400017</v>
      </c>
      <c r="V11" s="35">
        <v>6667.7898000000023</v>
      </c>
      <c r="W11" s="35">
        <v>6078.5797399200019</v>
      </c>
      <c r="X11" s="89">
        <f t="shared" si="1"/>
        <v>107.02707902000002</v>
      </c>
      <c r="Y11" s="79">
        <f t="shared" si="1"/>
        <v>107.02707902000002</v>
      </c>
      <c r="Z11" s="37">
        <f t="shared" si="1"/>
        <v>81.991726666666665</v>
      </c>
      <c r="AA11" s="38">
        <f t="shared" si="1"/>
        <v>83.853823798000036</v>
      </c>
      <c r="AB11" s="90">
        <f t="shared" si="1"/>
        <v>88.046186666666713</v>
      </c>
      <c r="AC11" s="36">
        <f t="shared" si="1"/>
        <v>88.046186666666713</v>
      </c>
      <c r="AD11" s="37">
        <f t="shared" si="1"/>
        <v>65.391666666666666</v>
      </c>
      <c r="AE11" s="38">
        <f t="shared" si="1"/>
        <v>57.453306666666656</v>
      </c>
      <c r="AF11" s="90">
        <f t="shared" si="1"/>
        <v>75.821848152000015</v>
      </c>
      <c r="AG11" s="36">
        <f t="shared" si="1"/>
        <v>75.821848152000015</v>
      </c>
      <c r="AH11" s="37">
        <f t="shared" si="1"/>
        <v>55.56491500000002</v>
      </c>
      <c r="AI11" s="38">
        <f t="shared" si="1"/>
        <v>50.654831166000015</v>
      </c>
      <c r="AJ11" s="27"/>
      <c r="AK11" s="28"/>
      <c r="AN11" s="28">
        <v>1011</v>
      </c>
      <c r="AO11" s="334" t="s">
        <v>362</v>
      </c>
      <c r="AP11" s="334" t="s">
        <v>362</v>
      </c>
      <c r="AQ11" s="334" t="s">
        <v>362</v>
      </c>
    </row>
    <row r="12" spans="1:55" x14ac:dyDescent="0.2">
      <c r="A12" s="27" t="str">
        <f t="shared" si="0"/>
        <v/>
      </c>
      <c r="B12" s="30" t="s">
        <v>28</v>
      </c>
      <c r="C12" s="31"/>
      <c r="D12" s="31" t="s">
        <v>29</v>
      </c>
      <c r="E12" s="34" t="s">
        <v>29</v>
      </c>
      <c r="F12" s="30"/>
      <c r="G12" s="31"/>
      <c r="H12" s="31"/>
      <c r="I12" s="31"/>
      <c r="J12" s="31"/>
      <c r="K12" s="32"/>
      <c r="L12" s="112">
        <v>9779.0403696000067</v>
      </c>
      <c r="M12" s="35">
        <v>9779.0403696000067</v>
      </c>
      <c r="N12" s="35">
        <v>7512.3487999999998</v>
      </c>
      <c r="O12" s="35">
        <v>7588.5229790400044</v>
      </c>
      <c r="P12" s="35">
        <v>7983.1736000000019</v>
      </c>
      <c r="Q12" s="35">
        <v>7983.1736000000019</v>
      </c>
      <c r="R12" s="35">
        <v>5933</v>
      </c>
      <c r="S12" s="35">
        <v>5274.387200000001</v>
      </c>
      <c r="T12" s="35">
        <v>6877.2228129600044</v>
      </c>
      <c r="U12" s="35">
        <v>6877.2228129600044</v>
      </c>
      <c r="V12" s="35">
        <v>5044.9092000000019</v>
      </c>
      <c r="W12" s="35">
        <v>4649.7956596800032</v>
      </c>
      <c r="X12" s="89">
        <f t="shared" si="1"/>
        <v>81.49200308000006</v>
      </c>
      <c r="Y12" s="79">
        <f t="shared" si="1"/>
        <v>81.49200308000006</v>
      </c>
      <c r="Z12" s="37">
        <f t="shared" si="1"/>
        <v>62.602906666666662</v>
      </c>
      <c r="AA12" s="38">
        <f t="shared" si="1"/>
        <v>63.237691492000039</v>
      </c>
      <c r="AB12" s="90">
        <f t="shared" si="1"/>
        <v>66.526446666666686</v>
      </c>
      <c r="AC12" s="36">
        <f t="shared" si="1"/>
        <v>66.526446666666686</v>
      </c>
      <c r="AD12" s="37">
        <f t="shared" si="1"/>
        <v>49.44166666666667</v>
      </c>
      <c r="AE12" s="38">
        <f t="shared" si="1"/>
        <v>43.953226666666673</v>
      </c>
      <c r="AF12" s="90">
        <f t="shared" si="1"/>
        <v>57.310190108000036</v>
      </c>
      <c r="AG12" s="36">
        <f t="shared" si="1"/>
        <v>57.310190108000036</v>
      </c>
      <c r="AH12" s="37">
        <f t="shared" si="1"/>
        <v>42.040910000000018</v>
      </c>
      <c r="AI12" s="38">
        <f t="shared" si="1"/>
        <v>38.748297164000029</v>
      </c>
      <c r="AJ12" s="27"/>
      <c r="AK12" s="28"/>
      <c r="AN12" s="28">
        <v>1101</v>
      </c>
      <c r="AO12" s="334" t="s">
        <v>362</v>
      </c>
      <c r="AP12" s="334" t="s">
        <v>362</v>
      </c>
      <c r="AQ12" s="334" t="s">
        <v>362</v>
      </c>
    </row>
    <row r="13" spans="1:55" ht="14.5" thickBot="1" x14ac:dyDescent="0.25">
      <c r="A13" s="27" t="str">
        <f t="shared" si="0"/>
        <v/>
      </c>
      <c r="B13" s="39" t="s">
        <v>29</v>
      </c>
      <c r="C13" s="40" t="s">
        <v>29</v>
      </c>
      <c r="D13" s="40" t="s">
        <v>29</v>
      </c>
      <c r="E13" s="41" t="s">
        <v>29</v>
      </c>
      <c r="F13" s="39"/>
      <c r="G13" s="40"/>
      <c r="H13" s="40"/>
      <c r="I13" s="40"/>
      <c r="J13" s="40"/>
      <c r="K13" s="42"/>
      <c r="L13" s="86">
        <v>14085.582957600003</v>
      </c>
      <c r="M13" s="43">
        <v>14085.582957600003</v>
      </c>
      <c r="N13" s="43">
        <v>10782.3128</v>
      </c>
      <c r="O13" s="43">
        <v>11065.47570024</v>
      </c>
      <c r="P13" s="43">
        <v>11612.521600000004</v>
      </c>
      <c r="Q13" s="43">
        <v>11612.521600000004</v>
      </c>
      <c r="R13" s="43">
        <v>8623</v>
      </c>
      <c r="S13" s="43">
        <v>7551.2031999999999</v>
      </c>
      <c r="T13" s="43">
        <v>9999.2516617600013</v>
      </c>
      <c r="U13" s="43">
        <v>9999.2516617600013</v>
      </c>
      <c r="V13" s="43">
        <v>7325.7602000000006</v>
      </c>
      <c r="W13" s="43">
        <v>6657.8568800800022</v>
      </c>
      <c r="X13" s="91">
        <f t="shared" si="1"/>
        <v>117.37985798000003</v>
      </c>
      <c r="Y13" s="80">
        <f t="shared" si="1"/>
        <v>117.37985798000003</v>
      </c>
      <c r="Z13" s="45">
        <f t="shared" si="1"/>
        <v>89.852606666666659</v>
      </c>
      <c r="AA13" s="46">
        <f t="shared" si="1"/>
        <v>92.212297501999998</v>
      </c>
      <c r="AB13" s="92">
        <f t="shared" si="1"/>
        <v>96.771013333333357</v>
      </c>
      <c r="AC13" s="44">
        <f t="shared" si="1"/>
        <v>96.771013333333357</v>
      </c>
      <c r="AD13" s="45">
        <f t="shared" si="1"/>
        <v>71.858333333333334</v>
      </c>
      <c r="AE13" s="46">
        <f t="shared" si="1"/>
        <v>62.926693333333333</v>
      </c>
      <c r="AF13" s="92">
        <f t="shared" si="1"/>
        <v>83.327097181333343</v>
      </c>
      <c r="AG13" s="44">
        <f t="shared" si="1"/>
        <v>83.327097181333343</v>
      </c>
      <c r="AH13" s="45">
        <f t="shared" si="1"/>
        <v>61.048001666666671</v>
      </c>
      <c r="AI13" s="46">
        <f t="shared" si="1"/>
        <v>55.482140667333354</v>
      </c>
      <c r="AJ13" s="27"/>
      <c r="AK13" s="28"/>
      <c r="AN13" s="28">
        <v>1111</v>
      </c>
      <c r="AO13" s="334" t="s">
        <v>362</v>
      </c>
      <c r="AP13" s="334" t="s">
        <v>362</v>
      </c>
      <c r="AQ13" s="334" t="s">
        <v>362</v>
      </c>
    </row>
    <row r="14" spans="1:55" ht="14.5" thickTop="1" x14ac:dyDescent="0.2">
      <c r="A14" s="27" t="str">
        <f t="shared" si="0"/>
        <v/>
      </c>
      <c r="B14" s="47" t="s">
        <v>28</v>
      </c>
      <c r="C14" s="48" t="s">
        <v>29</v>
      </c>
      <c r="D14" s="48"/>
      <c r="E14" s="49"/>
      <c r="F14" s="47" t="s">
        <v>29</v>
      </c>
      <c r="G14" s="48"/>
      <c r="H14" s="48"/>
      <c r="I14" s="48"/>
      <c r="J14" s="48"/>
      <c r="K14" s="50"/>
      <c r="L14" s="87">
        <v>12388</v>
      </c>
      <c r="M14" s="51">
        <f t="shared" ref="M14:O20" si="4">ROUNDDOWN(AVERAGE(M7,M21),0)</f>
        <v>12388</v>
      </c>
      <c r="N14" s="51">
        <f t="shared" si="4"/>
        <v>9493</v>
      </c>
      <c r="O14" s="51">
        <f t="shared" si="4"/>
        <v>9695</v>
      </c>
      <c r="P14" s="51">
        <v>10572.288400000005</v>
      </c>
      <c r="Q14" s="51">
        <v>10572.288400000005</v>
      </c>
      <c r="R14" s="51">
        <v>7852</v>
      </c>
      <c r="S14" s="51">
        <v>6898.6287999999986</v>
      </c>
      <c r="T14" s="51">
        <v>9104.4248058400044</v>
      </c>
      <c r="U14" s="51">
        <v>9104.4248058400044</v>
      </c>
      <c r="V14" s="51">
        <v>6672.029300000002</v>
      </c>
      <c r="W14" s="51">
        <v>6082.3121957200019</v>
      </c>
      <c r="X14" s="93">
        <f t="shared" si="1"/>
        <v>103.23333333333333</v>
      </c>
      <c r="Y14" s="81">
        <f t="shared" si="1"/>
        <v>103.23333333333333</v>
      </c>
      <c r="Z14" s="53">
        <f t="shared" si="1"/>
        <v>79.108333333333334</v>
      </c>
      <c r="AA14" s="54">
        <f t="shared" si="1"/>
        <v>80.791666666666671</v>
      </c>
      <c r="AB14" s="94">
        <f t="shared" si="1"/>
        <v>88.10240333333337</v>
      </c>
      <c r="AC14" s="52">
        <f t="shared" si="1"/>
        <v>88.10240333333337</v>
      </c>
      <c r="AD14" s="53">
        <f t="shared" si="1"/>
        <v>65.433333333333337</v>
      </c>
      <c r="AE14" s="54">
        <f t="shared" si="1"/>
        <v>57.488573333333321</v>
      </c>
      <c r="AF14" s="94">
        <f t="shared" si="1"/>
        <v>75.870206715333367</v>
      </c>
      <c r="AG14" s="52">
        <f t="shared" si="1"/>
        <v>75.870206715333367</v>
      </c>
      <c r="AH14" s="53">
        <f t="shared" si="1"/>
        <v>55.600244166666684</v>
      </c>
      <c r="AI14" s="54">
        <f t="shared" si="1"/>
        <v>50.685934964333349</v>
      </c>
      <c r="AJ14" s="27"/>
      <c r="AK14" s="28"/>
      <c r="AN14" s="28">
        <v>10011</v>
      </c>
      <c r="AO14" s="334" t="s">
        <v>362</v>
      </c>
      <c r="AP14" s="334" t="s">
        <v>362</v>
      </c>
      <c r="AQ14" s="334" t="s">
        <v>362</v>
      </c>
    </row>
    <row r="15" spans="1:55" x14ac:dyDescent="0.2">
      <c r="A15" s="27" t="str">
        <f t="shared" si="0"/>
        <v/>
      </c>
      <c r="B15" s="30" t="s">
        <v>28</v>
      </c>
      <c r="C15" s="31"/>
      <c r="D15" s="31" t="s">
        <v>29</v>
      </c>
      <c r="E15" s="34"/>
      <c r="F15" s="30" t="s">
        <v>29</v>
      </c>
      <c r="G15" s="31"/>
      <c r="H15" s="31"/>
      <c r="I15" s="31"/>
      <c r="J15" s="31"/>
      <c r="K15" s="32"/>
      <c r="L15" s="112">
        <v>8674</v>
      </c>
      <c r="M15" s="35">
        <f t="shared" si="4"/>
        <v>8674</v>
      </c>
      <c r="N15" s="35">
        <f t="shared" si="4"/>
        <v>6673</v>
      </c>
      <c r="O15" s="35">
        <f t="shared" si="4"/>
        <v>6696</v>
      </c>
      <c r="P15" s="35">
        <v>8223.3312000000005</v>
      </c>
      <c r="Q15" s="35">
        <v>8223.3312000000005</v>
      </c>
      <c r="R15" s="35">
        <v>6111</v>
      </c>
      <c r="S15" s="35">
        <v>5425.0463999999993</v>
      </c>
      <c r="T15" s="35">
        <v>7083.8105955200008</v>
      </c>
      <c r="U15" s="35">
        <v>7083.8105955200008</v>
      </c>
      <c r="V15" s="35">
        <v>5195.8353999999999</v>
      </c>
      <c r="W15" s="35">
        <v>4782.6710861600004</v>
      </c>
      <c r="X15" s="89">
        <f t="shared" si="1"/>
        <v>72.283333333333331</v>
      </c>
      <c r="Y15" s="79">
        <f t="shared" si="1"/>
        <v>72.283333333333331</v>
      </c>
      <c r="Z15" s="37">
        <f t="shared" si="1"/>
        <v>55.608333333333334</v>
      </c>
      <c r="AA15" s="38">
        <f t="shared" si="1"/>
        <v>55.8</v>
      </c>
      <c r="AB15" s="90">
        <f t="shared" si="1"/>
        <v>68.527760000000001</v>
      </c>
      <c r="AC15" s="36">
        <f t="shared" si="1"/>
        <v>68.527760000000001</v>
      </c>
      <c r="AD15" s="37">
        <f t="shared" si="1"/>
        <v>50.924999999999997</v>
      </c>
      <c r="AE15" s="38">
        <f t="shared" si="1"/>
        <v>45.208719999999992</v>
      </c>
      <c r="AF15" s="90">
        <f t="shared" si="1"/>
        <v>59.031754962666675</v>
      </c>
      <c r="AG15" s="36">
        <f t="shared" si="1"/>
        <v>59.031754962666675</v>
      </c>
      <c r="AH15" s="37">
        <f t="shared" si="1"/>
        <v>43.298628333333333</v>
      </c>
      <c r="AI15" s="38">
        <f t="shared" si="1"/>
        <v>39.855592384666672</v>
      </c>
      <c r="AJ15" s="27"/>
      <c r="AK15" s="28"/>
      <c r="AN15" s="28">
        <v>10101</v>
      </c>
      <c r="AO15" s="334" t="s">
        <v>362</v>
      </c>
      <c r="AP15" s="334" t="s">
        <v>362</v>
      </c>
      <c r="AQ15" s="334" t="s">
        <v>362</v>
      </c>
    </row>
    <row r="16" spans="1:55" x14ac:dyDescent="0.2">
      <c r="A16" s="27" t="str">
        <f t="shared" si="0"/>
        <v/>
      </c>
      <c r="B16" s="30" t="s">
        <v>28</v>
      </c>
      <c r="C16" s="31"/>
      <c r="D16" s="31"/>
      <c r="E16" s="34" t="s">
        <v>29</v>
      </c>
      <c r="F16" s="30" t="s">
        <v>29</v>
      </c>
      <c r="G16" s="31"/>
      <c r="H16" s="31"/>
      <c r="I16" s="31"/>
      <c r="J16" s="31"/>
      <c r="K16" s="32"/>
      <c r="L16" s="112">
        <v>9750</v>
      </c>
      <c r="M16" s="35">
        <f t="shared" si="4"/>
        <v>9750</v>
      </c>
      <c r="N16" s="35">
        <f t="shared" si="4"/>
        <v>7490</v>
      </c>
      <c r="O16" s="35">
        <f t="shared" si="4"/>
        <v>7565</v>
      </c>
      <c r="P16" s="35">
        <v>8271.902399999999</v>
      </c>
      <c r="Q16" s="35">
        <v>8271.902399999999</v>
      </c>
      <c r="R16" s="35">
        <v>6147</v>
      </c>
      <c r="S16" s="35">
        <v>5455.5168000000012</v>
      </c>
      <c r="T16" s="35">
        <v>7125.5923942400041</v>
      </c>
      <c r="U16" s="35">
        <v>7125.5923942400041</v>
      </c>
      <c r="V16" s="35">
        <v>5226.359800000002</v>
      </c>
      <c r="W16" s="35">
        <v>4809.5447679200042</v>
      </c>
      <c r="X16" s="89">
        <f t="shared" si="1"/>
        <v>81.25</v>
      </c>
      <c r="Y16" s="79">
        <f t="shared" si="1"/>
        <v>81.25</v>
      </c>
      <c r="Z16" s="37">
        <f t="shared" si="1"/>
        <v>62.416666666666664</v>
      </c>
      <c r="AA16" s="38">
        <f t="shared" si="1"/>
        <v>63.041666666666664</v>
      </c>
      <c r="AB16" s="90">
        <f t="shared" si="1"/>
        <v>68.932519999999997</v>
      </c>
      <c r="AC16" s="36">
        <f t="shared" si="1"/>
        <v>68.932519999999997</v>
      </c>
      <c r="AD16" s="37">
        <f t="shared" si="1"/>
        <v>51.225000000000001</v>
      </c>
      <c r="AE16" s="38">
        <f t="shared" si="1"/>
        <v>45.462640000000007</v>
      </c>
      <c r="AF16" s="90">
        <f t="shared" si="1"/>
        <v>59.379936618666697</v>
      </c>
      <c r="AG16" s="36">
        <f t="shared" si="1"/>
        <v>59.379936618666697</v>
      </c>
      <c r="AH16" s="37">
        <f t="shared" si="1"/>
        <v>43.552998333333349</v>
      </c>
      <c r="AI16" s="38">
        <f t="shared" si="1"/>
        <v>40.079539732666703</v>
      </c>
      <c r="AJ16" s="27"/>
      <c r="AK16" s="23"/>
      <c r="AN16" s="23">
        <v>11001</v>
      </c>
      <c r="AO16" s="23" t="s">
        <v>362</v>
      </c>
      <c r="AP16" s="23" t="s">
        <v>362</v>
      </c>
      <c r="AQ16" s="334" t="s">
        <v>362</v>
      </c>
    </row>
    <row r="17" spans="1:43" x14ac:dyDescent="0.2">
      <c r="A17" s="27" t="str">
        <f t="shared" si="0"/>
        <v/>
      </c>
      <c r="B17" s="30" t="s">
        <v>28</v>
      </c>
      <c r="C17" s="31" t="s">
        <v>29</v>
      </c>
      <c r="D17" s="31" t="s">
        <v>29</v>
      </c>
      <c r="E17" s="34"/>
      <c r="F17" s="114" t="s">
        <v>29</v>
      </c>
      <c r="G17" s="115"/>
      <c r="H17" s="115"/>
      <c r="I17" s="115"/>
      <c r="J17" s="115"/>
      <c r="K17" s="116"/>
      <c r="L17" s="121">
        <v>13456</v>
      </c>
      <c r="M17" s="35">
        <f t="shared" si="4"/>
        <v>13456</v>
      </c>
      <c r="N17" s="35">
        <f t="shared" si="4"/>
        <v>10304</v>
      </c>
      <c r="O17" s="35">
        <f t="shared" si="4"/>
        <v>10557</v>
      </c>
      <c r="P17" s="35">
        <v>11593.632800000003</v>
      </c>
      <c r="Q17" s="35">
        <v>11593.632800000003</v>
      </c>
      <c r="R17" s="35">
        <v>8609</v>
      </c>
      <c r="S17" s="35">
        <v>7539.3535999999986</v>
      </c>
      <c r="T17" s="35">
        <v>9983.0031844800033</v>
      </c>
      <c r="U17" s="35">
        <v>9983.0031844800033</v>
      </c>
      <c r="V17" s="35">
        <v>7313.8896000000022</v>
      </c>
      <c r="W17" s="35">
        <v>6647.4060038400021</v>
      </c>
      <c r="X17" s="89">
        <f t="shared" si="1"/>
        <v>112.13333333333334</v>
      </c>
      <c r="Y17" s="79">
        <f t="shared" si="1"/>
        <v>112.13333333333334</v>
      </c>
      <c r="Z17" s="37">
        <f t="shared" si="1"/>
        <v>85.86666666666666</v>
      </c>
      <c r="AA17" s="38">
        <f t="shared" si="1"/>
        <v>87.974999999999994</v>
      </c>
      <c r="AB17" s="90">
        <f t="shared" si="1"/>
        <v>96.613606666666698</v>
      </c>
      <c r="AC17" s="36">
        <f t="shared" si="1"/>
        <v>96.613606666666698</v>
      </c>
      <c r="AD17" s="37">
        <f t="shared" si="1"/>
        <v>71.74166666666666</v>
      </c>
      <c r="AE17" s="38">
        <f t="shared" si="1"/>
        <v>62.827946666666655</v>
      </c>
      <c r="AF17" s="90">
        <f t="shared" si="1"/>
        <v>83.191693204000032</v>
      </c>
      <c r="AG17" s="36">
        <f t="shared" si="1"/>
        <v>83.191693204000032</v>
      </c>
      <c r="AH17" s="37">
        <f t="shared" si="1"/>
        <v>60.949080000000016</v>
      </c>
      <c r="AI17" s="38">
        <f t="shared" si="1"/>
        <v>55.395050032000015</v>
      </c>
      <c r="AJ17" s="27"/>
      <c r="AK17" s="28"/>
      <c r="AN17" s="28">
        <v>10111</v>
      </c>
      <c r="AO17" s="334" t="s">
        <v>362</v>
      </c>
      <c r="AP17" s="334" t="s">
        <v>362</v>
      </c>
      <c r="AQ17" s="334" t="s">
        <v>362</v>
      </c>
    </row>
    <row r="18" spans="1:43" x14ac:dyDescent="0.2">
      <c r="A18" s="27" t="str">
        <f t="shared" si="0"/>
        <v/>
      </c>
      <c r="B18" s="30" t="s">
        <v>28</v>
      </c>
      <c r="C18" s="31" t="s">
        <v>29</v>
      </c>
      <c r="D18" s="31"/>
      <c r="E18" s="34" t="s">
        <v>29</v>
      </c>
      <c r="F18" s="30" t="s">
        <v>29</v>
      </c>
      <c r="G18" s="31"/>
      <c r="H18" s="31"/>
      <c r="I18" s="31"/>
      <c r="J18" s="31"/>
      <c r="K18" s="32"/>
      <c r="L18" s="112">
        <v>14792</v>
      </c>
      <c r="M18" s="35">
        <f t="shared" si="4"/>
        <v>14792</v>
      </c>
      <c r="N18" s="35">
        <f t="shared" si="4"/>
        <v>11319</v>
      </c>
      <c r="O18" s="35">
        <f t="shared" si="4"/>
        <v>11636</v>
      </c>
      <c r="P18" s="35">
        <v>11684.029200000001</v>
      </c>
      <c r="Q18" s="35">
        <v>11684.029200000001</v>
      </c>
      <c r="R18" s="35">
        <v>8676</v>
      </c>
      <c r="S18" s="35">
        <v>7596.0623999999989</v>
      </c>
      <c r="T18" s="35">
        <v>10060.76375432</v>
      </c>
      <c r="U18" s="35">
        <v>10060.76375432</v>
      </c>
      <c r="V18" s="35">
        <v>7370.6988999999994</v>
      </c>
      <c r="W18" s="35">
        <v>6697.4209115599988</v>
      </c>
      <c r="X18" s="89">
        <f t="shared" si="1"/>
        <v>123.26666666666667</v>
      </c>
      <c r="Y18" s="79">
        <f t="shared" si="1"/>
        <v>123.26666666666667</v>
      </c>
      <c r="Z18" s="37">
        <f t="shared" si="1"/>
        <v>94.325000000000003</v>
      </c>
      <c r="AA18" s="38">
        <f t="shared" si="1"/>
        <v>96.966666666666669</v>
      </c>
      <c r="AB18" s="90">
        <f t="shared" si="1"/>
        <v>97.366910000000004</v>
      </c>
      <c r="AC18" s="36">
        <f t="shared" si="1"/>
        <v>97.366910000000004</v>
      </c>
      <c r="AD18" s="37">
        <f t="shared" si="1"/>
        <v>72.3</v>
      </c>
      <c r="AE18" s="38">
        <f t="shared" si="1"/>
        <v>63.300519999999992</v>
      </c>
      <c r="AF18" s="90">
        <f t="shared" si="1"/>
        <v>83.839697952666668</v>
      </c>
      <c r="AG18" s="36">
        <f t="shared" si="1"/>
        <v>83.839697952666668</v>
      </c>
      <c r="AH18" s="37">
        <f t="shared" si="1"/>
        <v>61.422490833333327</v>
      </c>
      <c r="AI18" s="38">
        <f t="shared" si="1"/>
        <v>55.811840929666658</v>
      </c>
      <c r="AJ18" s="27"/>
      <c r="AK18" s="28"/>
      <c r="AN18" s="28">
        <v>11011</v>
      </c>
      <c r="AO18" s="334" t="s">
        <v>362</v>
      </c>
      <c r="AP18" s="334" t="s">
        <v>362</v>
      </c>
      <c r="AQ18" s="334" t="s">
        <v>362</v>
      </c>
    </row>
    <row r="19" spans="1:43" x14ac:dyDescent="0.2">
      <c r="A19" s="27" t="str">
        <f t="shared" si="0"/>
        <v/>
      </c>
      <c r="B19" s="30" t="s">
        <v>28</v>
      </c>
      <c r="C19" s="31"/>
      <c r="D19" s="31" t="s">
        <v>29</v>
      </c>
      <c r="E19" s="34" t="s">
        <v>29</v>
      </c>
      <c r="F19" s="30" t="s">
        <v>29</v>
      </c>
      <c r="G19" s="31"/>
      <c r="H19" s="31"/>
      <c r="I19" s="31"/>
      <c r="J19" s="31"/>
      <c r="K19" s="32"/>
      <c r="L19" s="112">
        <v>11980</v>
      </c>
      <c r="M19" s="35">
        <f t="shared" si="4"/>
        <v>11980</v>
      </c>
      <c r="N19" s="35">
        <f t="shared" si="4"/>
        <v>9184</v>
      </c>
      <c r="O19" s="35">
        <f t="shared" si="4"/>
        <v>9366</v>
      </c>
      <c r="P19" s="35">
        <v>9262.215200000006</v>
      </c>
      <c r="Q19" s="35">
        <v>9262.215200000006</v>
      </c>
      <c r="R19" s="35">
        <v>6881</v>
      </c>
      <c r="S19" s="35">
        <v>6076.7743999999984</v>
      </c>
      <c r="T19" s="35">
        <v>7977.4768459200022</v>
      </c>
      <c r="U19" s="35">
        <v>7977.4768459200022</v>
      </c>
      <c r="V19" s="35">
        <v>5848.7184000000016</v>
      </c>
      <c r="W19" s="35">
        <v>5357.4692793600043</v>
      </c>
      <c r="X19" s="89">
        <f t="shared" si="1"/>
        <v>99.833333333333329</v>
      </c>
      <c r="Y19" s="79">
        <f t="shared" si="1"/>
        <v>99.833333333333329</v>
      </c>
      <c r="Z19" s="37">
        <f t="shared" si="1"/>
        <v>76.533333333333331</v>
      </c>
      <c r="AA19" s="38">
        <f t="shared" si="1"/>
        <v>78.05</v>
      </c>
      <c r="AB19" s="90">
        <f t="shared" si="1"/>
        <v>77.185126666666719</v>
      </c>
      <c r="AC19" s="36">
        <f t="shared" si="1"/>
        <v>77.185126666666719</v>
      </c>
      <c r="AD19" s="37">
        <f t="shared" si="1"/>
        <v>57.341666666666669</v>
      </c>
      <c r="AE19" s="38">
        <f t="shared" si="1"/>
        <v>50.639786666666652</v>
      </c>
      <c r="AF19" s="90">
        <f t="shared" si="1"/>
        <v>66.478973716000013</v>
      </c>
      <c r="AG19" s="36">
        <f t="shared" si="1"/>
        <v>66.478973716000013</v>
      </c>
      <c r="AH19" s="37">
        <f t="shared" si="1"/>
        <v>48.739320000000014</v>
      </c>
      <c r="AI19" s="38">
        <f t="shared" si="1"/>
        <v>44.645577328000037</v>
      </c>
      <c r="AJ19" s="27"/>
      <c r="AN19" s="1">
        <v>11101</v>
      </c>
      <c r="AO19" s="1" t="s">
        <v>362</v>
      </c>
      <c r="AP19" s="1" t="s">
        <v>362</v>
      </c>
      <c r="AQ19" s="334" t="s">
        <v>362</v>
      </c>
    </row>
    <row r="20" spans="1:43" ht="14.5" thickBot="1" x14ac:dyDescent="0.25">
      <c r="A20" s="27" t="str">
        <f t="shared" si="0"/>
        <v/>
      </c>
      <c r="B20" s="39" t="s">
        <v>28</v>
      </c>
      <c r="C20" s="40" t="s">
        <v>29</v>
      </c>
      <c r="D20" s="40" t="s">
        <v>29</v>
      </c>
      <c r="E20" s="41" t="s">
        <v>29</v>
      </c>
      <c r="F20" s="4" t="s">
        <v>29</v>
      </c>
      <c r="G20" s="5"/>
      <c r="H20" s="5"/>
      <c r="I20" s="5"/>
      <c r="J20" s="5"/>
      <c r="K20" s="6"/>
      <c r="L20" s="95">
        <v>15916</v>
      </c>
      <c r="M20" s="55">
        <f t="shared" si="4"/>
        <v>15916</v>
      </c>
      <c r="N20" s="55">
        <f t="shared" si="4"/>
        <v>12172</v>
      </c>
      <c r="O20" s="55">
        <f t="shared" si="4"/>
        <v>12543</v>
      </c>
      <c r="P20" s="55">
        <v>12731.008400000002</v>
      </c>
      <c r="Q20" s="55">
        <v>12731.008400000002</v>
      </c>
      <c r="R20" s="55">
        <v>9452</v>
      </c>
      <c r="S20" s="55">
        <v>8252.8688000000002</v>
      </c>
      <c r="T20" s="55">
        <v>10961.393637840003</v>
      </c>
      <c r="U20" s="55">
        <v>10961.393637840003</v>
      </c>
      <c r="V20" s="55">
        <v>8028.6693000000014</v>
      </c>
      <c r="W20" s="55">
        <v>7276.6980517200027</v>
      </c>
      <c r="X20" s="96">
        <f t="shared" si="1"/>
        <v>132.63333333333333</v>
      </c>
      <c r="Y20" s="82">
        <f t="shared" si="1"/>
        <v>132.63333333333333</v>
      </c>
      <c r="Z20" s="57">
        <f t="shared" si="1"/>
        <v>101.43333333333334</v>
      </c>
      <c r="AA20" s="58">
        <f t="shared" si="1"/>
        <v>104.52500000000001</v>
      </c>
      <c r="AB20" s="97">
        <f t="shared" si="1"/>
        <v>106.09173666666669</v>
      </c>
      <c r="AC20" s="56">
        <f t="shared" si="1"/>
        <v>106.09173666666669</v>
      </c>
      <c r="AD20" s="57">
        <f t="shared" si="1"/>
        <v>78.766666666666666</v>
      </c>
      <c r="AE20" s="58">
        <f t="shared" si="1"/>
        <v>68.773906666666662</v>
      </c>
      <c r="AF20" s="97">
        <f t="shared" si="1"/>
        <v>91.344946982000025</v>
      </c>
      <c r="AG20" s="56">
        <f t="shared" si="1"/>
        <v>91.344946982000025</v>
      </c>
      <c r="AH20" s="57">
        <f t="shared" si="1"/>
        <v>66.905577500000007</v>
      </c>
      <c r="AI20" s="58">
        <f t="shared" si="1"/>
        <v>60.639150431000026</v>
      </c>
      <c r="AJ20" s="27"/>
      <c r="AN20" s="1">
        <v>11111</v>
      </c>
      <c r="AO20" s="1" t="s">
        <v>362</v>
      </c>
      <c r="AP20" s="1" t="s">
        <v>362</v>
      </c>
      <c r="AQ20" s="334" t="s">
        <v>362</v>
      </c>
    </row>
    <row r="21" spans="1:43" ht="14.5" thickTop="1" x14ac:dyDescent="0.2">
      <c r="A21" s="27" t="str">
        <f t="shared" si="0"/>
        <v/>
      </c>
      <c r="B21" s="47" t="s">
        <v>28</v>
      </c>
      <c r="C21" s="48" t="s">
        <v>29</v>
      </c>
      <c r="D21" s="48"/>
      <c r="E21" s="49"/>
      <c r="F21" s="47" t="s">
        <v>29</v>
      </c>
      <c r="G21" s="48" t="s">
        <v>29</v>
      </c>
      <c r="H21" s="7"/>
      <c r="I21" s="7"/>
      <c r="J21" s="7"/>
      <c r="K21" s="8"/>
      <c r="L21" s="98">
        <v>13258.095000000008</v>
      </c>
      <c r="M21" s="59">
        <v>13258.095000000008</v>
      </c>
      <c r="N21" s="59">
        <v>10154</v>
      </c>
      <c r="O21" s="59">
        <v>10397.390700000004</v>
      </c>
      <c r="P21" s="59">
        <v>10968</v>
      </c>
      <c r="Q21" s="51">
        <f t="shared" ref="Q21:S27" si="5">ROUNDDOWN(AVERAGE(Q14,Q28),0)</f>
        <v>10968</v>
      </c>
      <c r="R21" s="51">
        <f t="shared" si="5"/>
        <v>8145</v>
      </c>
      <c r="S21" s="51">
        <f t="shared" si="5"/>
        <v>7147</v>
      </c>
      <c r="T21" s="51">
        <v>9445</v>
      </c>
      <c r="U21" s="51">
        <f t="shared" ref="U21:W27" si="6">ROUNDDOWN(AVERAGE(U14,U28),0)</f>
        <v>9445</v>
      </c>
      <c r="V21" s="51">
        <f t="shared" si="6"/>
        <v>6920</v>
      </c>
      <c r="W21" s="51">
        <f t="shared" si="6"/>
        <v>6301</v>
      </c>
      <c r="X21" s="93">
        <f t="shared" si="1"/>
        <v>110.48412500000008</v>
      </c>
      <c r="Y21" s="83">
        <f t="shared" si="1"/>
        <v>110.48412500000008</v>
      </c>
      <c r="Z21" s="61">
        <f t="shared" si="1"/>
        <v>84.61666666666666</v>
      </c>
      <c r="AA21" s="62">
        <f t="shared" si="1"/>
        <v>86.644922500000035</v>
      </c>
      <c r="AB21" s="99">
        <f t="shared" si="1"/>
        <v>91.4</v>
      </c>
      <c r="AC21" s="60">
        <f t="shared" si="1"/>
        <v>91.4</v>
      </c>
      <c r="AD21" s="61">
        <f t="shared" si="1"/>
        <v>67.875</v>
      </c>
      <c r="AE21" s="62">
        <f t="shared" si="1"/>
        <v>59.55833333333333</v>
      </c>
      <c r="AF21" s="99">
        <f t="shared" si="1"/>
        <v>78.708333333333329</v>
      </c>
      <c r="AG21" s="60">
        <f t="shared" si="1"/>
        <v>78.708333333333329</v>
      </c>
      <c r="AH21" s="61">
        <f t="shared" si="1"/>
        <v>57.666666666666664</v>
      </c>
      <c r="AI21" s="62">
        <f t="shared" si="1"/>
        <v>52.508333333333333</v>
      </c>
      <c r="AJ21" s="27"/>
      <c r="AN21" s="1">
        <v>110011</v>
      </c>
      <c r="AO21" s="1" t="s">
        <v>362</v>
      </c>
      <c r="AP21" s="1" t="s">
        <v>362</v>
      </c>
      <c r="AQ21" s="334" t="s">
        <v>362</v>
      </c>
    </row>
    <row r="22" spans="1:43" x14ac:dyDescent="0.2">
      <c r="A22" s="27" t="str">
        <f t="shared" si="0"/>
        <v/>
      </c>
      <c r="B22" s="30" t="s">
        <v>28</v>
      </c>
      <c r="C22" s="31"/>
      <c r="D22" s="31" t="s">
        <v>29</v>
      </c>
      <c r="E22" s="34"/>
      <c r="F22" s="30" t="s">
        <v>29</v>
      </c>
      <c r="G22" s="31" t="s">
        <v>29</v>
      </c>
      <c r="H22" s="9"/>
      <c r="I22" s="9"/>
      <c r="J22" s="9"/>
      <c r="K22" s="10"/>
      <c r="L22" s="120">
        <v>8804.0010000000038</v>
      </c>
      <c r="M22" s="35">
        <v>8804.0010000000038</v>
      </c>
      <c r="N22" s="35">
        <v>6772</v>
      </c>
      <c r="O22" s="35">
        <v>6801.3101000000024</v>
      </c>
      <c r="P22" s="35">
        <v>8686</v>
      </c>
      <c r="Q22" s="35">
        <f t="shared" si="5"/>
        <v>8686</v>
      </c>
      <c r="R22" s="35">
        <f t="shared" si="5"/>
        <v>6454</v>
      </c>
      <c r="S22" s="35">
        <f t="shared" si="5"/>
        <v>5715</v>
      </c>
      <c r="T22" s="35">
        <v>7481</v>
      </c>
      <c r="U22" s="35">
        <f t="shared" si="6"/>
        <v>7481</v>
      </c>
      <c r="V22" s="35">
        <f t="shared" si="6"/>
        <v>5486</v>
      </c>
      <c r="W22" s="35">
        <f t="shared" si="6"/>
        <v>5038</v>
      </c>
      <c r="X22" s="89">
        <f t="shared" si="1"/>
        <v>73.366675000000029</v>
      </c>
      <c r="Y22" s="79">
        <f t="shared" si="1"/>
        <v>73.366675000000029</v>
      </c>
      <c r="Z22" s="37">
        <f t="shared" si="1"/>
        <v>56.43333333333333</v>
      </c>
      <c r="AA22" s="38">
        <f t="shared" si="1"/>
        <v>56.677584166666684</v>
      </c>
      <c r="AB22" s="90">
        <f t="shared" si="1"/>
        <v>72.38333333333334</v>
      </c>
      <c r="AC22" s="36">
        <f t="shared" si="1"/>
        <v>72.38333333333334</v>
      </c>
      <c r="AD22" s="37">
        <f t="shared" si="1"/>
        <v>53.783333333333331</v>
      </c>
      <c r="AE22" s="38">
        <f t="shared" si="1"/>
        <v>47.625</v>
      </c>
      <c r="AF22" s="90">
        <f t="shared" si="1"/>
        <v>62.341666666666669</v>
      </c>
      <c r="AG22" s="36">
        <f t="shared" si="1"/>
        <v>62.341666666666669</v>
      </c>
      <c r="AH22" s="37">
        <f t="shared" si="1"/>
        <v>45.716666666666669</v>
      </c>
      <c r="AI22" s="38">
        <f t="shared" si="1"/>
        <v>41.983333333333334</v>
      </c>
      <c r="AJ22" s="27"/>
      <c r="AN22" s="1">
        <v>110101</v>
      </c>
      <c r="AO22" s="1" t="s">
        <v>362</v>
      </c>
      <c r="AP22" s="1" t="s">
        <v>362</v>
      </c>
      <c r="AQ22" s="334" t="s">
        <v>362</v>
      </c>
    </row>
    <row r="23" spans="1:43" x14ac:dyDescent="0.2">
      <c r="A23" s="27" t="str">
        <f t="shared" si="0"/>
        <v/>
      </c>
      <c r="B23" s="30" t="s">
        <v>28</v>
      </c>
      <c r="C23" s="31"/>
      <c r="D23" s="31"/>
      <c r="E23" s="34" t="s">
        <v>29</v>
      </c>
      <c r="F23" s="30" t="s">
        <v>29</v>
      </c>
      <c r="G23" s="31" t="s">
        <v>29</v>
      </c>
      <c r="H23" s="9"/>
      <c r="I23" s="9"/>
      <c r="J23" s="9"/>
      <c r="K23" s="10"/>
      <c r="L23" s="120">
        <v>10891.446000000004</v>
      </c>
      <c r="M23" s="35">
        <v>10891.446</v>
      </c>
      <c r="N23" s="35">
        <v>8357</v>
      </c>
      <c r="O23" s="35">
        <v>8486.6405999999988</v>
      </c>
      <c r="P23" s="35">
        <v>8734</v>
      </c>
      <c r="Q23" s="35">
        <f t="shared" si="5"/>
        <v>8734</v>
      </c>
      <c r="R23" s="35">
        <f t="shared" si="5"/>
        <v>6489</v>
      </c>
      <c r="S23" s="35">
        <f t="shared" si="5"/>
        <v>5745</v>
      </c>
      <c r="T23" s="35">
        <v>7523</v>
      </c>
      <c r="U23" s="35">
        <f t="shared" si="6"/>
        <v>7523</v>
      </c>
      <c r="V23" s="35">
        <f t="shared" si="6"/>
        <v>5516</v>
      </c>
      <c r="W23" s="35">
        <f t="shared" si="6"/>
        <v>5065</v>
      </c>
      <c r="X23" s="89">
        <f t="shared" si="1"/>
        <v>90.762050000000031</v>
      </c>
      <c r="Y23" s="79">
        <f t="shared" si="1"/>
        <v>90.762050000000002</v>
      </c>
      <c r="Z23" s="37">
        <f t="shared" si="1"/>
        <v>69.641666666666666</v>
      </c>
      <c r="AA23" s="38">
        <f t="shared" si="1"/>
        <v>70.722004999999996</v>
      </c>
      <c r="AB23" s="90">
        <f t="shared" si="1"/>
        <v>72.783333333333331</v>
      </c>
      <c r="AC23" s="36">
        <f t="shared" si="1"/>
        <v>72.783333333333331</v>
      </c>
      <c r="AD23" s="37">
        <f t="shared" si="1"/>
        <v>54.075000000000003</v>
      </c>
      <c r="AE23" s="38">
        <f t="shared" si="1"/>
        <v>47.875</v>
      </c>
      <c r="AF23" s="90">
        <f t="shared" si="1"/>
        <v>62.69166666666667</v>
      </c>
      <c r="AG23" s="36">
        <f t="shared" si="1"/>
        <v>62.69166666666667</v>
      </c>
      <c r="AH23" s="37">
        <f t="shared" si="1"/>
        <v>45.966666666666669</v>
      </c>
      <c r="AI23" s="38">
        <f t="shared" si="1"/>
        <v>42.208333333333336</v>
      </c>
      <c r="AJ23" s="27"/>
      <c r="AN23" s="1">
        <v>111001</v>
      </c>
      <c r="AO23" s="1" t="s">
        <v>362</v>
      </c>
      <c r="AP23" s="1" t="s">
        <v>362</v>
      </c>
      <c r="AQ23" s="334" t="s">
        <v>362</v>
      </c>
    </row>
    <row r="24" spans="1:43" x14ac:dyDescent="0.2">
      <c r="A24" s="27" t="str">
        <f t="shared" si="0"/>
        <v/>
      </c>
      <c r="B24" s="30" t="s">
        <v>28</v>
      </c>
      <c r="C24" s="31" t="s">
        <v>29</v>
      </c>
      <c r="D24" s="31" t="s">
        <v>29</v>
      </c>
      <c r="E24" s="34"/>
      <c r="F24" s="114" t="s">
        <v>29</v>
      </c>
      <c r="G24" s="115" t="s">
        <v>29</v>
      </c>
      <c r="H24" s="9"/>
      <c r="I24" s="9"/>
      <c r="J24" s="9"/>
      <c r="K24" s="10"/>
      <c r="L24" s="120">
        <v>14182.629000000008</v>
      </c>
      <c r="M24" s="35">
        <v>14182.629000000008</v>
      </c>
      <c r="N24" s="35">
        <v>10856</v>
      </c>
      <c r="O24" s="35">
        <v>11143.827300000001</v>
      </c>
      <c r="P24" s="35">
        <v>11990</v>
      </c>
      <c r="Q24" s="35">
        <f t="shared" si="5"/>
        <v>11990</v>
      </c>
      <c r="R24" s="35">
        <f t="shared" si="5"/>
        <v>8903</v>
      </c>
      <c r="S24" s="35">
        <f t="shared" si="5"/>
        <v>7788</v>
      </c>
      <c r="T24" s="35">
        <v>10324</v>
      </c>
      <c r="U24" s="35">
        <f t="shared" si="6"/>
        <v>10324</v>
      </c>
      <c r="V24" s="35">
        <f t="shared" si="6"/>
        <v>7563</v>
      </c>
      <c r="W24" s="35">
        <f t="shared" si="6"/>
        <v>6866</v>
      </c>
      <c r="X24" s="89">
        <f t="shared" si="1"/>
        <v>118.18857500000007</v>
      </c>
      <c r="Y24" s="79">
        <f t="shared" si="1"/>
        <v>118.18857500000007</v>
      </c>
      <c r="Z24" s="37">
        <f t="shared" si="1"/>
        <v>90.466666666666669</v>
      </c>
      <c r="AA24" s="38">
        <f t="shared" si="1"/>
        <v>92.865227500000003</v>
      </c>
      <c r="AB24" s="90">
        <f t="shared" si="1"/>
        <v>99.916666666666671</v>
      </c>
      <c r="AC24" s="36">
        <f t="shared" si="1"/>
        <v>99.916666666666671</v>
      </c>
      <c r="AD24" s="37">
        <f t="shared" si="1"/>
        <v>74.191666666666663</v>
      </c>
      <c r="AE24" s="38">
        <f t="shared" si="1"/>
        <v>64.900000000000006</v>
      </c>
      <c r="AF24" s="90">
        <f t="shared" si="1"/>
        <v>86.033333333333331</v>
      </c>
      <c r="AG24" s="36">
        <f t="shared" si="1"/>
        <v>86.033333333333331</v>
      </c>
      <c r="AH24" s="37">
        <f t="shared" si="1"/>
        <v>63.024999999999999</v>
      </c>
      <c r="AI24" s="38">
        <f t="shared" si="1"/>
        <v>57.216666666666669</v>
      </c>
      <c r="AJ24" s="27"/>
      <c r="AN24" s="1">
        <v>110111</v>
      </c>
      <c r="AO24" s="1" t="s">
        <v>362</v>
      </c>
      <c r="AP24" s="1" t="s">
        <v>362</v>
      </c>
      <c r="AQ24" s="334" t="s">
        <v>362</v>
      </c>
    </row>
    <row r="25" spans="1:43" x14ac:dyDescent="0.2">
      <c r="A25" s="27" t="str">
        <f t="shared" si="0"/>
        <v/>
      </c>
      <c r="B25" s="30" t="s">
        <v>28</v>
      </c>
      <c r="C25" s="31" t="s">
        <v>29</v>
      </c>
      <c r="D25" s="31"/>
      <c r="E25" s="34" t="s">
        <v>29</v>
      </c>
      <c r="F25" s="30" t="s">
        <v>29</v>
      </c>
      <c r="G25" s="31" t="s">
        <v>29</v>
      </c>
      <c r="H25" s="9"/>
      <c r="I25" s="9"/>
      <c r="J25" s="9"/>
      <c r="K25" s="10"/>
      <c r="L25" s="120">
        <v>16741.560000000005</v>
      </c>
      <c r="M25" s="35">
        <v>16741.560000000005</v>
      </c>
      <c r="N25" s="35">
        <v>12799</v>
      </c>
      <c r="O25" s="35">
        <v>13209.819200000002</v>
      </c>
      <c r="P25" s="35">
        <v>12078</v>
      </c>
      <c r="Q25" s="35">
        <f t="shared" si="5"/>
        <v>12078</v>
      </c>
      <c r="R25" s="35">
        <f t="shared" si="5"/>
        <v>8968</v>
      </c>
      <c r="S25" s="35">
        <f t="shared" si="5"/>
        <v>7843</v>
      </c>
      <c r="T25" s="35">
        <v>10400</v>
      </c>
      <c r="U25" s="35">
        <f t="shared" si="6"/>
        <v>10400</v>
      </c>
      <c r="V25" s="35">
        <f t="shared" si="6"/>
        <v>7618</v>
      </c>
      <c r="W25" s="35">
        <f t="shared" si="6"/>
        <v>6915</v>
      </c>
      <c r="X25" s="89">
        <f t="shared" si="1"/>
        <v>139.51300000000003</v>
      </c>
      <c r="Y25" s="79">
        <f t="shared" si="1"/>
        <v>139.51300000000003</v>
      </c>
      <c r="Z25" s="37">
        <f t="shared" si="1"/>
        <v>106.65833333333333</v>
      </c>
      <c r="AA25" s="38">
        <f t="shared" si="1"/>
        <v>110.08182666666669</v>
      </c>
      <c r="AB25" s="90">
        <f t="shared" si="1"/>
        <v>100.65</v>
      </c>
      <c r="AC25" s="36">
        <f t="shared" si="1"/>
        <v>100.65</v>
      </c>
      <c r="AD25" s="37">
        <f t="shared" si="1"/>
        <v>74.733333333333334</v>
      </c>
      <c r="AE25" s="38">
        <f t="shared" si="1"/>
        <v>65.358333333333334</v>
      </c>
      <c r="AF25" s="90">
        <f t="shared" si="1"/>
        <v>86.666666666666671</v>
      </c>
      <c r="AG25" s="36">
        <f t="shared" si="1"/>
        <v>86.666666666666671</v>
      </c>
      <c r="AH25" s="37">
        <f t="shared" si="1"/>
        <v>63.483333333333334</v>
      </c>
      <c r="AI25" s="38">
        <f t="shared" si="1"/>
        <v>57.625</v>
      </c>
      <c r="AJ25" s="27"/>
      <c r="AN25" s="1">
        <v>111011</v>
      </c>
      <c r="AO25" s="1" t="s">
        <v>362</v>
      </c>
      <c r="AP25" s="1" t="s">
        <v>362</v>
      </c>
      <c r="AQ25" s="334" t="s">
        <v>362</v>
      </c>
    </row>
    <row r="26" spans="1:43" x14ac:dyDescent="0.2">
      <c r="A26" s="27" t="str">
        <f t="shared" si="0"/>
        <v/>
      </c>
      <c r="B26" s="30" t="s">
        <v>28</v>
      </c>
      <c r="C26" s="31"/>
      <c r="D26" s="31" t="s">
        <v>29</v>
      </c>
      <c r="E26" s="34" t="s">
        <v>29</v>
      </c>
      <c r="F26" s="30" t="s">
        <v>29</v>
      </c>
      <c r="G26" s="31" t="s">
        <v>29</v>
      </c>
      <c r="H26" s="9"/>
      <c r="I26" s="9"/>
      <c r="J26" s="9"/>
      <c r="K26" s="10"/>
      <c r="L26" s="120">
        <v>14182.629000000008</v>
      </c>
      <c r="M26" s="35">
        <v>14182.629000000008</v>
      </c>
      <c r="N26" s="35">
        <v>10856</v>
      </c>
      <c r="O26" s="35">
        <v>11143.827300000001</v>
      </c>
      <c r="P26" s="35">
        <v>9726</v>
      </c>
      <c r="Q26" s="35">
        <f t="shared" si="5"/>
        <v>9726</v>
      </c>
      <c r="R26" s="35">
        <f t="shared" si="5"/>
        <v>7225</v>
      </c>
      <c r="S26" s="35">
        <f t="shared" si="5"/>
        <v>6367</v>
      </c>
      <c r="T26" s="35">
        <v>8376</v>
      </c>
      <c r="U26" s="35">
        <f t="shared" si="6"/>
        <v>8376</v>
      </c>
      <c r="V26" s="35">
        <f t="shared" si="6"/>
        <v>6140</v>
      </c>
      <c r="W26" s="35">
        <f t="shared" si="6"/>
        <v>5614</v>
      </c>
      <c r="X26" s="89">
        <f t="shared" si="1"/>
        <v>118.18857500000007</v>
      </c>
      <c r="Y26" s="79">
        <f t="shared" si="1"/>
        <v>118.18857500000007</v>
      </c>
      <c r="Z26" s="37">
        <f t="shared" si="1"/>
        <v>90.466666666666669</v>
      </c>
      <c r="AA26" s="38">
        <f t="shared" si="1"/>
        <v>92.865227500000003</v>
      </c>
      <c r="AB26" s="90">
        <f t="shared" si="1"/>
        <v>81.05</v>
      </c>
      <c r="AC26" s="36">
        <f t="shared" si="1"/>
        <v>81.05</v>
      </c>
      <c r="AD26" s="37">
        <f t="shared" si="1"/>
        <v>60.208333333333336</v>
      </c>
      <c r="AE26" s="38">
        <f t="shared" si="1"/>
        <v>53.05833333333333</v>
      </c>
      <c r="AF26" s="90">
        <f t="shared" si="1"/>
        <v>69.8</v>
      </c>
      <c r="AG26" s="36">
        <f t="shared" si="1"/>
        <v>69.8</v>
      </c>
      <c r="AH26" s="37">
        <f t="shared" si="1"/>
        <v>51.166666666666664</v>
      </c>
      <c r="AI26" s="38">
        <f t="shared" si="1"/>
        <v>46.783333333333331</v>
      </c>
      <c r="AJ26" s="27"/>
      <c r="AN26" s="1">
        <v>111101</v>
      </c>
      <c r="AO26" s="1" t="s">
        <v>362</v>
      </c>
      <c r="AP26" s="1" t="s">
        <v>362</v>
      </c>
      <c r="AQ26" s="334" t="s">
        <v>362</v>
      </c>
    </row>
    <row r="27" spans="1:43" ht="14.5" thickBot="1" x14ac:dyDescent="0.25">
      <c r="A27" s="27" t="str">
        <f t="shared" si="0"/>
        <v/>
      </c>
      <c r="B27" s="39" t="s">
        <v>28</v>
      </c>
      <c r="C27" s="40" t="s">
        <v>29</v>
      </c>
      <c r="D27" s="40" t="s">
        <v>29</v>
      </c>
      <c r="E27" s="41" t="s">
        <v>29</v>
      </c>
      <c r="F27" s="4" t="s">
        <v>29</v>
      </c>
      <c r="G27" s="5" t="s">
        <v>29</v>
      </c>
      <c r="H27" s="5"/>
      <c r="I27" s="5"/>
      <c r="J27" s="5"/>
      <c r="K27" s="6"/>
      <c r="L27" s="100">
        <v>17746.431000000004</v>
      </c>
      <c r="M27" s="43">
        <v>17746.431000000004</v>
      </c>
      <c r="N27" s="43">
        <v>13562</v>
      </c>
      <c r="O27" s="43">
        <v>14021.117100000003</v>
      </c>
      <c r="P27" s="43">
        <v>13126</v>
      </c>
      <c r="Q27" s="55">
        <f t="shared" si="5"/>
        <v>13126</v>
      </c>
      <c r="R27" s="55">
        <f t="shared" si="5"/>
        <v>9745</v>
      </c>
      <c r="S27" s="55">
        <f t="shared" si="5"/>
        <v>8500</v>
      </c>
      <c r="T27" s="55">
        <v>11301</v>
      </c>
      <c r="U27" s="55">
        <f t="shared" si="6"/>
        <v>11301</v>
      </c>
      <c r="V27" s="55">
        <f t="shared" si="6"/>
        <v>8277</v>
      </c>
      <c r="W27" s="55">
        <f t="shared" si="6"/>
        <v>7495</v>
      </c>
      <c r="X27" s="91">
        <f t="shared" si="1"/>
        <v>147.88692500000005</v>
      </c>
      <c r="Y27" s="80">
        <f t="shared" si="1"/>
        <v>147.88692500000005</v>
      </c>
      <c r="Z27" s="45">
        <f t="shared" si="1"/>
        <v>113.01666666666667</v>
      </c>
      <c r="AA27" s="46">
        <f t="shared" si="1"/>
        <v>116.84264250000003</v>
      </c>
      <c r="AB27" s="92">
        <f t="shared" si="1"/>
        <v>109.38333333333334</v>
      </c>
      <c r="AC27" s="44">
        <f t="shared" si="1"/>
        <v>109.38333333333334</v>
      </c>
      <c r="AD27" s="45">
        <f t="shared" si="1"/>
        <v>81.208333333333329</v>
      </c>
      <c r="AE27" s="46">
        <f t="shared" si="1"/>
        <v>70.833333333333329</v>
      </c>
      <c r="AF27" s="92">
        <f t="shared" si="1"/>
        <v>94.174999999999997</v>
      </c>
      <c r="AG27" s="44">
        <f t="shared" si="1"/>
        <v>94.174999999999997</v>
      </c>
      <c r="AH27" s="45">
        <f t="shared" si="1"/>
        <v>68.974999999999994</v>
      </c>
      <c r="AI27" s="46">
        <f t="shared" si="1"/>
        <v>62.458333333333336</v>
      </c>
      <c r="AJ27" s="27"/>
      <c r="AN27" s="1">
        <v>111111</v>
      </c>
      <c r="AO27" s="1" t="s">
        <v>362</v>
      </c>
      <c r="AP27" s="1" t="s">
        <v>362</v>
      </c>
      <c r="AQ27" s="334" t="s">
        <v>362</v>
      </c>
    </row>
    <row r="28" spans="1:43" ht="14.5" thickTop="1" x14ac:dyDescent="0.2">
      <c r="A28" s="27" t="str">
        <f t="shared" si="0"/>
        <v/>
      </c>
      <c r="B28" s="47" t="s">
        <v>28</v>
      </c>
      <c r="C28" s="48" t="s">
        <v>29</v>
      </c>
      <c r="D28" s="48"/>
      <c r="E28" s="49"/>
      <c r="F28" s="11" t="s">
        <v>28</v>
      </c>
      <c r="G28" s="7"/>
      <c r="H28" s="48" t="s">
        <v>29</v>
      </c>
      <c r="I28" s="48"/>
      <c r="J28" s="7"/>
      <c r="K28" s="8"/>
      <c r="L28" s="98">
        <v>14744</v>
      </c>
      <c r="M28" s="51">
        <f t="shared" ref="M28:O34" si="7">ROUNDDOWN(AVERAGE(M21,M35),0)</f>
        <v>14744</v>
      </c>
      <c r="N28" s="51">
        <f t="shared" si="7"/>
        <v>11282</v>
      </c>
      <c r="O28" s="51">
        <f t="shared" si="7"/>
        <v>11597</v>
      </c>
      <c r="P28" s="51">
        <v>11364.268800000002</v>
      </c>
      <c r="Q28" s="51">
        <v>11364.268800000002</v>
      </c>
      <c r="R28" s="51">
        <v>8439</v>
      </c>
      <c r="S28" s="51">
        <v>7395.4655999999995</v>
      </c>
      <c r="T28" s="51">
        <v>9785.7002460800031</v>
      </c>
      <c r="U28" s="51">
        <v>9785.7002460800031</v>
      </c>
      <c r="V28" s="51">
        <v>7169.7466000000022</v>
      </c>
      <c r="W28" s="51">
        <v>6520.5025066400012</v>
      </c>
      <c r="X28" s="93">
        <f t="shared" si="1"/>
        <v>122.86666666666666</v>
      </c>
      <c r="Y28" s="81">
        <f t="shared" si="1"/>
        <v>122.86666666666666</v>
      </c>
      <c r="Z28" s="53">
        <f t="shared" si="1"/>
        <v>94.016666666666666</v>
      </c>
      <c r="AA28" s="54">
        <f t="shared" ref="AA28:AI55" si="8">O28/$AJ$4</f>
        <v>96.641666666666666</v>
      </c>
      <c r="AB28" s="94">
        <f t="shared" si="8"/>
        <v>94.702240000000018</v>
      </c>
      <c r="AC28" s="52">
        <f t="shared" si="8"/>
        <v>94.702240000000018</v>
      </c>
      <c r="AD28" s="53">
        <f t="shared" si="8"/>
        <v>70.325000000000003</v>
      </c>
      <c r="AE28" s="54">
        <f t="shared" si="8"/>
        <v>61.628879999999995</v>
      </c>
      <c r="AF28" s="94">
        <f t="shared" si="8"/>
        <v>81.547502050666694</v>
      </c>
      <c r="AG28" s="52">
        <f t="shared" si="8"/>
        <v>81.547502050666694</v>
      </c>
      <c r="AH28" s="53">
        <f t="shared" si="8"/>
        <v>59.74788833333335</v>
      </c>
      <c r="AI28" s="54">
        <f t="shared" si="8"/>
        <v>54.337520888666674</v>
      </c>
      <c r="AJ28" s="27"/>
      <c r="AN28" s="1">
        <v>1010011</v>
      </c>
      <c r="AO28" s="1">
        <v>1110011</v>
      </c>
      <c r="AP28" s="1" t="s">
        <v>362</v>
      </c>
      <c r="AQ28" s="334" t="s">
        <v>362</v>
      </c>
    </row>
    <row r="29" spans="1:43" x14ac:dyDescent="0.2">
      <c r="A29" s="27" t="str">
        <f t="shared" si="0"/>
        <v/>
      </c>
      <c r="B29" s="30" t="s">
        <v>28</v>
      </c>
      <c r="C29" s="31"/>
      <c r="D29" s="31" t="s">
        <v>29</v>
      </c>
      <c r="E29" s="34"/>
      <c r="F29" s="12" t="s">
        <v>28</v>
      </c>
      <c r="G29" s="9"/>
      <c r="H29" s="31" t="s">
        <v>29</v>
      </c>
      <c r="I29" s="31"/>
      <c r="J29" s="9"/>
      <c r="K29" s="10"/>
      <c r="L29" s="120">
        <v>10483</v>
      </c>
      <c r="M29" s="35">
        <f t="shared" si="7"/>
        <v>10483</v>
      </c>
      <c r="N29" s="35">
        <f t="shared" si="7"/>
        <v>8047</v>
      </c>
      <c r="O29" s="35">
        <f t="shared" si="7"/>
        <v>8157</v>
      </c>
      <c r="P29" s="35">
        <v>9148.8824000000022</v>
      </c>
      <c r="Q29" s="35">
        <v>9148.8824000000022</v>
      </c>
      <c r="R29" s="35">
        <v>6797</v>
      </c>
      <c r="S29" s="35">
        <v>6005.6768000000011</v>
      </c>
      <c r="T29" s="35">
        <v>7879.9859822399994</v>
      </c>
      <c r="U29" s="35">
        <v>7879.9859822399994</v>
      </c>
      <c r="V29" s="35">
        <v>5777.4948000000004</v>
      </c>
      <c r="W29" s="35">
        <v>5294.7640219200002</v>
      </c>
      <c r="X29" s="89">
        <f t="shared" ref="X29:Z55" si="9">L29/$AJ$4</f>
        <v>87.358333333333334</v>
      </c>
      <c r="Y29" s="79">
        <f t="shared" si="9"/>
        <v>87.358333333333334</v>
      </c>
      <c r="Z29" s="37">
        <f t="shared" si="9"/>
        <v>67.058333333333337</v>
      </c>
      <c r="AA29" s="38">
        <f t="shared" si="8"/>
        <v>67.974999999999994</v>
      </c>
      <c r="AB29" s="90">
        <f t="shared" si="8"/>
        <v>76.24068666666669</v>
      </c>
      <c r="AC29" s="36">
        <f t="shared" si="8"/>
        <v>76.24068666666669</v>
      </c>
      <c r="AD29" s="37">
        <f t="shared" si="8"/>
        <v>56.641666666666666</v>
      </c>
      <c r="AE29" s="38">
        <f t="shared" si="8"/>
        <v>50.047306666666678</v>
      </c>
      <c r="AF29" s="90">
        <f t="shared" si="8"/>
        <v>65.666549851999989</v>
      </c>
      <c r="AG29" s="36">
        <f t="shared" si="8"/>
        <v>65.666549851999989</v>
      </c>
      <c r="AH29" s="37">
        <f t="shared" si="8"/>
        <v>48.145790000000005</v>
      </c>
      <c r="AI29" s="38">
        <f t="shared" si="8"/>
        <v>44.123033516</v>
      </c>
      <c r="AJ29" s="27"/>
      <c r="AN29" s="1">
        <v>1010101</v>
      </c>
      <c r="AO29" s="1">
        <v>1110101</v>
      </c>
      <c r="AP29" s="1" t="s">
        <v>362</v>
      </c>
      <c r="AQ29" s="334" t="s">
        <v>362</v>
      </c>
    </row>
    <row r="30" spans="1:43" x14ac:dyDescent="0.2">
      <c r="A30" s="27" t="str">
        <f t="shared" si="0"/>
        <v/>
      </c>
      <c r="B30" s="30" t="s">
        <v>28</v>
      </c>
      <c r="C30" s="31"/>
      <c r="D30" s="31"/>
      <c r="E30" s="34" t="s">
        <v>29</v>
      </c>
      <c r="F30" s="12" t="s">
        <v>28</v>
      </c>
      <c r="G30" s="9"/>
      <c r="H30" s="31" t="s">
        <v>29</v>
      </c>
      <c r="I30" s="31"/>
      <c r="J30" s="9"/>
      <c r="K30" s="10"/>
      <c r="L30" s="120">
        <v>12570</v>
      </c>
      <c r="M30" s="35">
        <f t="shared" si="7"/>
        <v>12570</v>
      </c>
      <c r="N30" s="35">
        <f t="shared" si="7"/>
        <v>9632</v>
      </c>
      <c r="O30" s="35">
        <f t="shared" si="7"/>
        <v>9842</v>
      </c>
      <c r="P30" s="35">
        <v>9196.1044000000038</v>
      </c>
      <c r="Q30" s="35">
        <v>9196.1044000000038</v>
      </c>
      <c r="R30" s="35">
        <v>6832</v>
      </c>
      <c r="S30" s="35">
        <v>6035.3008000000009</v>
      </c>
      <c r="T30" s="35">
        <v>7920.6071754400036</v>
      </c>
      <c r="U30" s="35">
        <v>7920.6071754400036</v>
      </c>
      <c r="V30" s="35">
        <v>5807.1713000000018</v>
      </c>
      <c r="W30" s="35">
        <v>5320.891212520004</v>
      </c>
      <c r="X30" s="89">
        <f t="shared" si="9"/>
        <v>104.75</v>
      </c>
      <c r="Y30" s="79">
        <f t="shared" si="9"/>
        <v>104.75</v>
      </c>
      <c r="Z30" s="37">
        <f t="shared" si="9"/>
        <v>80.266666666666666</v>
      </c>
      <c r="AA30" s="38">
        <f t="shared" si="8"/>
        <v>82.016666666666666</v>
      </c>
      <c r="AB30" s="90">
        <f t="shared" si="8"/>
        <v>76.63420333333336</v>
      </c>
      <c r="AC30" s="36">
        <f t="shared" si="8"/>
        <v>76.63420333333336</v>
      </c>
      <c r="AD30" s="37">
        <f t="shared" si="8"/>
        <v>56.93333333333333</v>
      </c>
      <c r="AE30" s="38">
        <f t="shared" si="8"/>
        <v>50.29417333333334</v>
      </c>
      <c r="AF30" s="90">
        <f t="shared" si="8"/>
        <v>66.005059795333366</v>
      </c>
      <c r="AG30" s="36">
        <f t="shared" si="8"/>
        <v>66.005059795333366</v>
      </c>
      <c r="AH30" s="37">
        <f t="shared" si="8"/>
        <v>48.393094166666678</v>
      </c>
      <c r="AI30" s="38">
        <f t="shared" si="8"/>
        <v>44.34076010433337</v>
      </c>
      <c r="AJ30" s="27"/>
      <c r="AN30" s="1">
        <v>1011001</v>
      </c>
      <c r="AO30" s="1">
        <v>1111001</v>
      </c>
      <c r="AP30" s="1" t="s">
        <v>362</v>
      </c>
      <c r="AQ30" s="334" t="s">
        <v>362</v>
      </c>
    </row>
    <row r="31" spans="1:43" x14ac:dyDescent="0.2">
      <c r="A31" s="27" t="str">
        <f t="shared" si="0"/>
        <v/>
      </c>
      <c r="B31" s="30" t="s">
        <v>28</v>
      </c>
      <c r="C31" s="31" t="s">
        <v>29</v>
      </c>
      <c r="D31" s="31" t="s">
        <v>29</v>
      </c>
      <c r="E31" s="34"/>
      <c r="F31" s="12" t="s">
        <v>28</v>
      </c>
      <c r="G31" s="9"/>
      <c r="H31" s="115" t="s">
        <v>29</v>
      </c>
      <c r="I31" s="115"/>
      <c r="J31" s="9"/>
      <c r="K31" s="10"/>
      <c r="L31" s="120">
        <v>15670</v>
      </c>
      <c r="M31" s="35">
        <f t="shared" si="7"/>
        <v>15670</v>
      </c>
      <c r="N31" s="35">
        <f t="shared" si="7"/>
        <v>11985</v>
      </c>
      <c r="O31" s="35">
        <f t="shared" si="7"/>
        <v>12344</v>
      </c>
      <c r="P31" s="35">
        <v>12386.962400000004</v>
      </c>
      <c r="Q31" s="35">
        <v>12386.962400000004</v>
      </c>
      <c r="R31" s="35">
        <v>9197</v>
      </c>
      <c r="S31" s="35">
        <v>8037.0368000000017</v>
      </c>
      <c r="T31" s="35">
        <v>10665.439230240001</v>
      </c>
      <c r="U31" s="35">
        <v>10665.439230240001</v>
      </c>
      <c r="V31" s="35">
        <v>7812.4547999999995</v>
      </c>
      <c r="W31" s="35">
        <v>7086.3428059200014</v>
      </c>
      <c r="X31" s="89">
        <f t="shared" si="9"/>
        <v>130.58333333333334</v>
      </c>
      <c r="Y31" s="79">
        <f t="shared" si="9"/>
        <v>130.58333333333334</v>
      </c>
      <c r="Z31" s="37">
        <f t="shared" si="9"/>
        <v>99.875</v>
      </c>
      <c r="AA31" s="38">
        <f t="shared" si="8"/>
        <v>102.86666666666666</v>
      </c>
      <c r="AB31" s="90">
        <f t="shared" si="8"/>
        <v>103.2246866666667</v>
      </c>
      <c r="AC31" s="36">
        <f t="shared" si="8"/>
        <v>103.2246866666667</v>
      </c>
      <c r="AD31" s="37">
        <f t="shared" si="8"/>
        <v>76.641666666666666</v>
      </c>
      <c r="AE31" s="38">
        <f t="shared" si="8"/>
        <v>66.975306666666683</v>
      </c>
      <c r="AF31" s="90">
        <f t="shared" si="8"/>
        <v>88.878660252000003</v>
      </c>
      <c r="AG31" s="36">
        <f t="shared" si="8"/>
        <v>88.878660252000003</v>
      </c>
      <c r="AH31" s="37">
        <f t="shared" si="8"/>
        <v>65.103789999999989</v>
      </c>
      <c r="AI31" s="38">
        <f t="shared" si="8"/>
        <v>59.052856716000015</v>
      </c>
      <c r="AJ31" s="27"/>
      <c r="AN31" s="1">
        <v>1010111</v>
      </c>
      <c r="AO31" s="1">
        <v>1110111</v>
      </c>
      <c r="AP31" s="1" t="s">
        <v>362</v>
      </c>
      <c r="AQ31" s="334" t="s">
        <v>362</v>
      </c>
    </row>
    <row r="32" spans="1:43" x14ac:dyDescent="0.2">
      <c r="A32" s="27" t="str">
        <f t="shared" si="0"/>
        <v/>
      </c>
      <c r="B32" s="30" t="s">
        <v>28</v>
      </c>
      <c r="C32" s="31" t="s">
        <v>29</v>
      </c>
      <c r="D32" s="31"/>
      <c r="E32" s="34" t="s">
        <v>29</v>
      </c>
      <c r="F32" s="12" t="s">
        <v>28</v>
      </c>
      <c r="G32" s="9"/>
      <c r="H32" s="31" t="s">
        <v>29</v>
      </c>
      <c r="I32" s="31"/>
      <c r="J32" s="9"/>
      <c r="K32" s="10"/>
      <c r="L32" s="120">
        <v>18211</v>
      </c>
      <c r="M32" s="35">
        <f t="shared" si="7"/>
        <v>18211</v>
      </c>
      <c r="N32" s="35">
        <f t="shared" si="7"/>
        <v>13915</v>
      </c>
      <c r="O32" s="35">
        <f t="shared" si="7"/>
        <v>14396</v>
      </c>
      <c r="P32" s="35">
        <v>12473.311200000004</v>
      </c>
      <c r="Q32" s="35">
        <v>12473.311200000004</v>
      </c>
      <c r="R32" s="35">
        <v>9261</v>
      </c>
      <c r="S32" s="35">
        <v>8091.2063999999991</v>
      </c>
      <c r="T32" s="35">
        <v>10739.717983520004</v>
      </c>
      <c r="U32" s="35">
        <v>10739.717983520004</v>
      </c>
      <c r="V32" s="35">
        <v>7866.720400000002</v>
      </c>
      <c r="W32" s="35">
        <v>7134.1182401600017</v>
      </c>
      <c r="X32" s="89">
        <f t="shared" si="9"/>
        <v>151.75833333333333</v>
      </c>
      <c r="Y32" s="79">
        <f t="shared" si="9"/>
        <v>151.75833333333333</v>
      </c>
      <c r="Z32" s="37">
        <f t="shared" si="9"/>
        <v>115.95833333333333</v>
      </c>
      <c r="AA32" s="38">
        <f t="shared" si="8"/>
        <v>119.96666666666667</v>
      </c>
      <c r="AB32" s="90">
        <f t="shared" si="8"/>
        <v>103.94426000000003</v>
      </c>
      <c r="AC32" s="36">
        <f t="shared" si="8"/>
        <v>103.94426000000003</v>
      </c>
      <c r="AD32" s="37">
        <f t="shared" si="8"/>
        <v>77.174999999999997</v>
      </c>
      <c r="AE32" s="38">
        <f t="shared" si="8"/>
        <v>67.426719999999989</v>
      </c>
      <c r="AF32" s="90">
        <f t="shared" si="8"/>
        <v>89.497649862666705</v>
      </c>
      <c r="AG32" s="36">
        <f t="shared" si="8"/>
        <v>89.497649862666705</v>
      </c>
      <c r="AH32" s="37">
        <f t="shared" si="8"/>
        <v>65.556003333333351</v>
      </c>
      <c r="AI32" s="38">
        <f t="shared" si="8"/>
        <v>59.450985334666683</v>
      </c>
      <c r="AJ32" s="27"/>
      <c r="AN32" s="1">
        <v>1011011</v>
      </c>
      <c r="AO32" s="1">
        <v>1111011</v>
      </c>
      <c r="AP32" s="1" t="s">
        <v>362</v>
      </c>
      <c r="AQ32" s="334" t="s">
        <v>362</v>
      </c>
    </row>
    <row r="33" spans="1:43" x14ac:dyDescent="0.2">
      <c r="A33" s="27" t="str">
        <f t="shared" si="0"/>
        <v/>
      </c>
      <c r="B33" s="30" t="s">
        <v>28</v>
      </c>
      <c r="C33" s="31"/>
      <c r="D33" s="31" t="s">
        <v>29</v>
      </c>
      <c r="E33" s="34" t="s">
        <v>29</v>
      </c>
      <c r="F33" s="12" t="s">
        <v>28</v>
      </c>
      <c r="G33" s="9"/>
      <c r="H33" s="31" t="s">
        <v>29</v>
      </c>
      <c r="I33" s="31"/>
      <c r="J33" s="9"/>
      <c r="K33" s="10"/>
      <c r="L33" s="120">
        <v>15670</v>
      </c>
      <c r="M33" s="35">
        <f t="shared" si="7"/>
        <v>15670</v>
      </c>
      <c r="N33" s="35">
        <f t="shared" si="7"/>
        <v>11985</v>
      </c>
      <c r="O33" s="35">
        <f t="shared" si="7"/>
        <v>12344</v>
      </c>
      <c r="P33" s="35">
        <v>10190.464800000002</v>
      </c>
      <c r="Q33" s="35">
        <v>10190.464800000002</v>
      </c>
      <c r="R33" s="35">
        <v>7569</v>
      </c>
      <c r="S33" s="35">
        <v>6659.097600000001</v>
      </c>
      <c r="T33" s="35">
        <v>8775.973443679999</v>
      </c>
      <c r="U33" s="35">
        <v>8775.973443679999</v>
      </c>
      <c r="V33" s="35">
        <v>6432.0735999999997</v>
      </c>
      <c r="W33" s="35">
        <v>5871.0551974400005</v>
      </c>
      <c r="X33" s="89">
        <f t="shared" si="9"/>
        <v>130.58333333333334</v>
      </c>
      <c r="Y33" s="79">
        <f t="shared" si="9"/>
        <v>130.58333333333334</v>
      </c>
      <c r="Z33" s="37">
        <f t="shared" si="9"/>
        <v>99.875</v>
      </c>
      <c r="AA33" s="38">
        <f t="shared" si="8"/>
        <v>102.86666666666666</v>
      </c>
      <c r="AB33" s="90">
        <f t="shared" si="8"/>
        <v>84.920540000000017</v>
      </c>
      <c r="AC33" s="36">
        <f t="shared" si="8"/>
        <v>84.920540000000017</v>
      </c>
      <c r="AD33" s="37">
        <f t="shared" si="8"/>
        <v>63.075000000000003</v>
      </c>
      <c r="AE33" s="38">
        <f t="shared" si="8"/>
        <v>55.492480000000008</v>
      </c>
      <c r="AF33" s="90">
        <f t="shared" si="8"/>
        <v>73.133112030666652</v>
      </c>
      <c r="AG33" s="36">
        <f t="shared" si="8"/>
        <v>73.133112030666652</v>
      </c>
      <c r="AH33" s="37">
        <f t="shared" si="8"/>
        <v>53.600613333333328</v>
      </c>
      <c r="AI33" s="38">
        <f t="shared" si="8"/>
        <v>48.925459978666673</v>
      </c>
      <c r="AJ33" s="27"/>
      <c r="AN33" s="1">
        <v>1011101</v>
      </c>
      <c r="AO33" s="1">
        <v>1111101</v>
      </c>
      <c r="AP33" s="1" t="s">
        <v>362</v>
      </c>
      <c r="AQ33" s="334" t="s">
        <v>362</v>
      </c>
    </row>
    <row r="34" spans="1:43" ht="14.5" thickBot="1" x14ac:dyDescent="0.25">
      <c r="A34" s="27" t="str">
        <f t="shared" si="0"/>
        <v/>
      </c>
      <c r="B34" s="39" t="s">
        <v>28</v>
      </c>
      <c r="C34" s="40" t="s">
        <v>29</v>
      </c>
      <c r="D34" s="40" t="s">
        <v>29</v>
      </c>
      <c r="E34" s="41" t="s">
        <v>29</v>
      </c>
      <c r="F34" s="4" t="s">
        <v>28</v>
      </c>
      <c r="G34" s="5"/>
      <c r="H34" s="5" t="s">
        <v>29</v>
      </c>
      <c r="I34" s="5"/>
      <c r="J34" s="5"/>
      <c r="K34" s="6"/>
      <c r="L34" s="95">
        <v>19217</v>
      </c>
      <c r="M34" s="55">
        <f t="shared" si="7"/>
        <v>19217</v>
      </c>
      <c r="N34" s="55">
        <f t="shared" si="7"/>
        <v>14679</v>
      </c>
      <c r="O34" s="55">
        <f t="shared" si="7"/>
        <v>15208</v>
      </c>
      <c r="P34" s="55">
        <v>13521.639600000002</v>
      </c>
      <c r="Q34" s="55">
        <v>13521.639600000002</v>
      </c>
      <c r="R34" s="55">
        <v>10038</v>
      </c>
      <c r="S34" s="55">
        <v>8748.859199999999</v>
      </c>
      <c r="T34" s="55">
        <v>11641.508472560003</v>
      </c>
      <c r="U34" s="55">
        <v>11641.508472560003</v>
      </c>
      <c r="V34" s="55">
        <v>8525.538700000001</v>
      </c>
      <c r="W34" s="55">
        <v>7714.141871480002</v>
      </c>
      <c r="X34" s="96">
        <f t="shared" si="9"/>
        <v>160.14166666666668</v>
      </c>
      <c r="Y34" s="82">
        <f t="shared" si="9"/>
        <v>160.14166666666668</v>
      </c>
      <c r="Z34" s="57">
        <f t="shared" si="9"/>
        <v>122.325</v>
      </c>
      <c r="AA34" s="58">
        <f t="shared" si="8"/>
        <v>126.73333333333333</v>
      </c>
      <c r="AB34" s="97">
        <f t="shared" si="8"/>
        <v>112.68033000000001</v>
      </c>
      <c r="AC34" s="56">
        <f t="shared" si="8"/>
        <v>112.68033000000001</v>
      </c>
      <c r="AD34" s="57">
        <f t="shared" si="8"/>
        <v>83.65</v>
      </c>
      <c r="AE34" s="58">
        <f t="shared" si="8"/>
        <v>72.90715999999999</v>
      </c>
      <c r="AF34" s="97">
        <f t="shared" si="8"/>
        <v>97.012570604666692</v>
      </c>
      <c r="AG34" s="56">
        <f t="shared" si="8"/>
        <v>97.012570604666692</v>
      </c>
      <c r="AH34" s="57">
        <f t="shared" si="8"/>
        <v>71.046155833333344</v>
      </c>
      <c r="AI34" s="58">
        <f t="shared" si="8"/>
        <v>64.28451559566669</v>
      </c>
      <c r="AJ34" s="27"/>
      <c r="AN34" s="1">
        <v>1011111</v>
      </c>
      <c r="AO34" s="1">
        <v>1111111</v>
      </c>
      <c r="AP34" s="1" t="s">
        <v>362</v>
      </c>
      <c r="AQ34" s="334" t="s">
        <v>362</v>
      </c>
    </row>
    <row r="35" spans="1:43" ht="14.5" thickTop="1" x14ac:dyDescent="0.2">
      <c r="A35" s="27" t="str">
        <f t="shared" si="0"/>
        <v/>
      </c>
      <c r="B35" s="47" t="s">
        <v>28</v>
      </c>
      <c r="C35" s="48" t="s">
        <v>29</v>
      </c>
      <c r="D35" s="48"/>
      <c r="E35" s="49"/>
      <c r="F35" s="11" t="s">
        <v>28</v>
      </c>
      <c r="G35" s="7" t="s">
        <v>28</v>
      </c>
      <c r="H35" s="48" t="s">
        <v>29</v>
      </c>
      <c r="I35" s="48" t="s">
        <v>29</v>
      </c>
      <c r="J35" s="7"/>
      <c r="K35" s="8"/>
      <c r="L35" s="98">
        <v>16230.564000000006</v>
      </c>
      <c r="M35" s="59">
        <v>16230.564000000006</v>
      </c>
      <c r="N35" s="59">
        <v>12411</v>
      </c>
      <c r="O35" s="59">
        <v>12797.258800000003</v>
      </c>
      <c r="P35" s="59">
        <v>11898</v>
      </c>
      <c r="Q35" s="51">
        <f t="shared" ref="Q35:S41" si="10">ROUNDDOWN(AVERAGE(Q28,Q42),0)</f>
        <v>11898</v>
      </c>
      <c r="R35" s="51">
        <f t="shared" si="10"/>
        <v>8835</v>
      </c>
      <c r="S35" s="51">
        <f t="shared" si="10"/>
        <v>7730</v>
      </c>
      <c r="T35" s="51">
        <v>10245</v>
      </c>
      <c r="U35" s="51">
        <f t="shared" ref="U35:W41" si="11">ROUNDDOWN(AVERAGE(U28,U42),0)</f>
        <v>10245</v>
      </c>
      <c r="V35" s="51">
        <f t="shared" si="11"/>
        <v>7505</v>
      </c>
      <c r="W35" s="51">
        <f t="shared" si="11"/>
        <v>6816</v>
      </c>
      <c r="X35" s="93">
        <f t="shared" si="9"/>
        <v>135.25470000000004</v>
      </c>
      <c r="Y35" s="83">
        <f t="shared" si="9"/>
        <v>135.25470000000004</v>
      </c>
      <c r="Z35" s="61">
        <f t="shared" si="9"/>
        <v>103.425</v>
      </c>
      <c r="AA35" s="62">
        <f t="shared" si="8"/>
        <v>106.64382333333336</v>
      </c>
      <c r="AB35" s="99">
        <f t="shared" si="8"/>
        <v>99.15</v>
      </c>
      <c r="AC35" s="60">
        <f t="shared" si="8"/>
        <v>99.15</v>
      </c>
      <c r="AD35" s="61">
        <f t="shared" si="8"/>
        <v>73.625</v>
      </c>
      <c r="AE35" s="62">
        <f t="shared" si="8"/>
        <v>64.416666666666671</v>
      </c>
      <c r="AF35" s="99">
        <f t="shared" si="8"/>
        <v>85.375</v>
      </c>
      <c r="AG35" s="60">
        <f t="shared" si="8"/>
        <v>85.375</v>
      </c>
      <c r="AH35" s="61">
        <f t="shared" si="8"/>
        <v>62.541666666666664</v>
      </c>
      <c r="AI35" s="62">
        <f t="shared" si="8"/>
        <v>56.8</v>
      </c>
      <c r="AJ35" s="27"/>
      <c r="AN35" s="1">
        <v>11110011</v>
      </c>
      <c r="AO35" s="1" t="s">
        <v>362</v>
      </c>
      <c r="AP35" s="1" t="s">
        <v>362</v>
      </c>
      <c r="AQ35" s="334" t="s">
        <v>362</v>
      </c>
    </row>
    <row r="36" spans="1:43" x14ac:dyDescent="0.2">
      <c r="A36" s="27" t="str">
        <f t="shared" si="0"/>
        <v/>
      </c>
      <c r="B36" s="30" t="s">
        <v>28</v>
      </c>
      <c r="C36" s="31"/>
      <c r="D36" s="31" t="s">
        <v>29</v>
      </c>
      <c r="E36" s="34"/>
      <c r="F36" s="12" t="s">
        <v>28</v>
      </c>
      <c r="G36" s="9" t="s">
        <v>28</v>
      </c>
      <c r="H36" s="31" t="s">
        <v>29</v>
      </c>
      <c r="I36" s="31" t="s">
        <v>29</v>
      </c>
      <c r="J36" s="9"/>
      <c r="K36" s="10"/>
      <c r="L36" s="120">
        <v>12162.351000000002</v>
      </c>
      <c r="M36" s="35">
        <v>12162.351000000002</v>
      </c>
      <c r="N36" s="35">
        <v>9322</v>
      </c>
      <c r="O36" s="35">
        <v>9512.7251000000033</v>
      </c>
      <c r="P36" s="35">
        <v>9748</v>
      </c>
      <c r="Q36" s="35">
        <f t="shared" si="10"/>
        <v>9748</v>
      </c>
      <c r="R36" s="35">
        <f t="shared" si="10"/>
        <v>7241</v>
      </c>
      <c r="S36" s="35">
        <f t="shared" si="10"/>
        <v>6381</v>
      </c>
      <c r="T36" s="35">
        <v>8395</v>
      </c>
      <c r="U36" s="35">
        <f t="shared" si="11"/>
        <v>8395</v>
      </c>
      <c r="V36" s="35">
        <f t="shared" si="11"/>
        <v>6154</v>
      </c>
      <c r="W36" s="35">
        <f t="shared" si="11"/>
        <v>5626</v>
      </c>
      <c r="X36" s="89">
        <f t="shared" si="9"/>
        <v>101.35292500000001</v>
      </c>
      <c r="Y36" s="79">
        <f t="shared" si="9"/>
        <v>101.35292500000001</v>
      </c>
      <c r="Z36" s="37">
        <f t="shared" si="9"/>
        <v>77.683333333333337</v>
      </c>
      <c r="AA36" s="38">
        <f t="shared" si="8"/>
        <v>79.272709166666701</v>
      </c>
      <c r="AB36" s="90">
        <f t="shared" si="8"/>
        <v>81.233333333333334</v>
      </c>
      <c r="AC36" s="36">
        <f t="shared" si="8"/>
        <v>81.233333333333334</v>
      </c>
      <c r="AD36" s="37">
        <f t="shared" si="8"/>
        <v>60.341666666666669</v>
      </c>
      <c r="AE36" s="38">
        <f t="shared" si="8"/>
        <v>53.174999999999997</v>
      </c>
      <c r="AF36" s="90">
        <f t="shared" si="8"/>
        <v>69.958333333333329</v>
      </c>
      <c r="AG36" s="36">
        <f t="shared" si="8"/>
        <v>69.958333333333329</v>
      </c>
      <c r="AH36" s="37">
        <f t="shared" si="8"/>
        <v>51.283333333333331</v>
      </c>
      <c r="AI36" s="38">
        <f t="shared" si="8"/>
        <v>46.883333333333333</v>
      </c>
      <c r="AJ36" s="27"/>
      <c r="AN36" s="1">
        <v>11110101</v>
      </c>
      <c r="AO36" s="1" t="s">
        <v>362</v>
      </c>
      <c r="AP36" s="1" t="s">
        <v>362</v>
      </c>
      <c r="AQ36" s="334" t="s">
        <v>362</v>
      </c>
    </row>
    <row r="37" spans="1:43" x14ac:dyDescent="0.2">
      <c r="A37" s="27" t="str">
        <f t="shared" si="0"/>
        <v/>
      </c>
      <c r="B37" s="30" t="s">
        <v>28</v>
      </c>
      <c r="C37" s="31"/>
      <c r="D37" s="31"/>
      <c r="E37" s="34" t="s">
        <v>29</v>
      </c>
      <c r="F37" s="12" t="s">
        <v>28</v>
      </c>
      <c r="G37" s="9" t="s">
        <v>28</v>
      </c>
      <c r="H37" s="31" t="s">
        <v>29</v>
      </c>
      <c r="I37" s="31" t="s">
        <v>29</v>
      </c>
      <c r="J37" s="9"/>
      <c r="K37" s="10"/>
      <c r="L37" s="120">
        <v>14249.796000000002</v>
      </c>
      <c r="M37" s="35">
        <v>14249.796000000002</v>
      </c>
      <c r="N37" s="35">
        <v>10907</v>
      </c>
      <c r="O37" s="35">
        <v>11198.055600000003</v>
      </c>
      <c r="P37" s="35">
        <v>9793</v>
      </c>
      <c r="Q37" s="35">
        <f t="shared" si="10"/>
        <v>9793</v>
      </c>
      <c r="R37" s="35">
        <f t="shared" si="10"/>
        <v>7275</v>
      </c>
      <c r="S37" s="35">
        <f t="shared" si="10"/>
        <v>6410</v>
      </c>
      <c r="T37" s="35">
        <v>8434</v>
      </c>
      <c r="U37" s="35">
        <f t="shared" si="11"/>
        <v>8434</v>
      </c>
      <c r="V37" s="35">
        <f t="shared" si="11"/>
        <v>6182</v>
      </c>
      <c r="W37" s="35">
        <f t="shared" si="11"/>
        <v>5651</v>
      </c>
      <c r="X37" s="89">
        <f t="shared" si="9"/>
        <v>118.74830000000001</v>
      </c>
      <c r="Y37" s="79">
        <f t="shared" si="9"/>
        <v>118.74830000000001</v>
      </c>
      <c r="Z37" s="37">
        <f t="shared" si="9"/>
        <v>90.891666666666666</v>
      </c>
      <c r="AA37" s="38">
        <f t="shared" si="8"/>
        <v>93.317130000000034</v>
      </c>
      <c r="AB37" s="90">
        <f t="shared" si="8"/>
        <v>81.608333333333334</v>
      </c>
      <c r="AC37" s="36">
        <f t="shared" si="8"/>
        <v>81.608333333333334</v>
      </c>
      <c r="AD37" s="37">
        <f t="shared" si="8"/>
        <v>60.625</v>
      </c>
      <c r="AE37" s="38">
        <f t="shared" si="8"/>
        <v>53.416666666666664</v>
      </c>
      <c r="AF37" s="90">
        <f t="shared" si="8"/>
        <v>70.283333333333331</v>
      </c>
      <c r="AG37" s="36">
        <f t="shared" si="8"/>
        <v>70.283333333333331</v>
      </c>
      <c r="AH37" s="37">
        <f t="shared" si="8"/>
        <v>51.516666666666666</v>
      </c>
      <c r="AI37" s="38">
        <f t="shared" si="8"/>
        <v>47.091666666666669</v>
      </c>
      <c r="AJ37" s="27"/>
      <c r="AN37" s="1">
        <v>11111001</v>
      </c>
      <c r="AO37" s="1" t="s">
        <v>362</v>
      </c>
      <c r="AP37" s="1" t="s">
        <v>362</v>
      </c>
      <c r="AQ37" s="334" t="s">
        <v>362</v>
      </c>
    </row>
    <row r="38" spans="1:43" x14ac:dyDescent="0.2">
      <c r="A38" s="27" t="str">
        <f t="shared" si="0"/>
        <v/>
      </c>
      <c r="B38" s="30" t="s">
        <v>28</v>
      </c>
      <c r="C38" s="31" t="s">
        <v>29</v>
      </c>
      <c r="D38" s="31" t="s">
        <v>29</v>
      </c>
      <c r="E38" s="34"/>
      <c r="F38" s="12" t="s">
        <v>28</v>
      </c>
      <c r="G38" s="9" t="s">
        <v>28</v>
      </c>
      <c r="H38" s="115" t="s">
        <v>29</v>
      </c>
      <c r="I38" s="115" t="s">
        <v>29</v>
      </c>
      <c r="J38" s="9"/>
      <c r="K38" s="10"/>
      <c r="L38" s="120">
        <v>17157.732000000004</v>
      </c>
      <c r="M38" s="35">
        <v>17157.732000000004</v>
      </c>
      <c r="N38" s="35">
        <v>13115</v>
      </c>
      <c r="O38" s="35">
        <v>13545.822</v>
      </c>
      <c r="P38" s="35">
        <v>12921</v>
      </c>
      <c r="Q38" s="35">
        <f t="shared" si="10"/>
        <v>12921</v>
      </c>
      <c r="R38" s="35">
        <f t="shared" si="10"/>
        <v>9593</v>
      </c>
      <c r="S38" s="35">
        <f t="shared" si="10"/>
        <v>8372</v>
      </c>
      <c r="T38" s="35">
        <v>11125</v>
      </c>
      <c r="U38" s="35">
        <f t="shared" si="11"/>
        <v>11125</v>
      </c>
      <c r="V38" s="35">
        <f t="shared" si="11"/>
        <v>8148</v>
      </c>
      <c r="W38" s="35">
        <f t="shared" si="11"/>
        <v>7382</v>
      </c>
      <c r="X38" s="89">
        <f t="shared" si="9"/>
        <v>142.98110000000003</v>
      </c>
      <c r="Y38" s="79">
        <f t="shared" si="9"/>
        <v>142.98110000000003</v>
      </c>
      <c r="Z38" s="37">
        <f t="shared" si="9"/>
        <v>109.29166666666667</v>
      </c>
      <c r="AA38" s="38">
        <f t="shared" si="8"/>
        <v>112.88185</v>
      </c>
      <c r="AB38" s="90">
        <f t="shared" si="8"/>
        <v>107.675</v>
      </c>
      <c r="AC38" s="36">
        <f t="shared" si="8"/>
        <v>107.675</v>
      </c>
      <c r="AD38" s="37">
        <f t="shared" si="8"/>
        <v>79.941666666666663</v>
      </c>
      <c r="AE38" s="38">
        <f t="shared" si="8"/>
        <v>69.766666666666666</v>
      </c>
      <c r="AF38" s="90">
        <f t="shared" si="8"/>
        <v>92.708333333333329</v>
      </c>
      <c r="AG38" s="36">
        <f t="shared" si="8"/>
        <v>92.708333333333329</v>
      </c>
      <c r="AH38" s="37">
        <f t="shared" si="8"/>
        <v>67.900000000000006</v>
      </c>
      <c r="AI38" s="38">
        <f t="shared" si="8"/>
        <v>61.516666666666666</v>
      </c>
      <c r="AJ38" s="27"/>
      <c r="AN38" s="1">
        <v>11110111</v>
      </c>
      <c r="AO38" s="1" t="s">
        <v>362</v>
      </c>
      <c r="AP38" s="1" t="s">
        <v>362</v>
      </c>
      <c r="AQ38" s="334" t="s">
        <v>362</v>
      </c>
    </row>
    <row r="39" spans="1:43" x14ac:dyDescent="0.2">
      <c r="A39" s="27" t="str">
        <f t="shared" ref="A39:A55" si="12">IF(OR($BC$10=$AN39,$BC$10=$AO39,$BC$10=$AP39,$BC$10=$AQ39),"★","")</f>
        <v/>
      </c>
      <c r="B39" s="30" t="s">
        <v>28</v>
      </c>
      <c r="C39" s="31" t="s">
        <v>29</v>
      </c>
      <c r="D39" s="31"/>
      <c r="E39" s="34" t="s">
        <v>29</v>
      </c>
      <c r="F39" s="12" t="s">
        <v>28</v>
      </c>
      <c r="G39" s="9" t="s">
        <v>28</v>
      </c>
      <c r="H39" s="31" t="s">
        <v>29</v>
      </c>
      <c r="I39" s="31" t="s">
        <v>29</v>
      </c>
      <c r="J39" s="9"/>
      <c r="K39" s="10"/>
      <c r="L39" s="120">
        <v>19681.104000000007</v>
      </c>
      <c r="M39" s="35">
        <v>19681.104000000007</v>
      </c>
      <c r="N39" s="35">
        <v>15031</v>
      </c>
      <c r="O39" s="35">
        <v>15583.104800000001</v>
      </c>
      <c r="P39" s="35">
        <v>13005</v>
      </c>
      <c r="Q39" s="35">
        <f t="shared" si="10"/>
        <v>13005</v>
      </c>
      <c r="R39" s="35">
        <f t="shared" si="10"/>
        <v>9655</v>
      </c>
      <c r="S39" s="35">
        <f t="shared" si="10"/>
        <v>8425</v>
      </c>
      <c r="T39" s="35">
        <v>11197</v>
      </c>
      <c r="U39" s="35">
        <f t="shared" si="11"/>
        <v>11197</v>
      </c>
      <c r="V39" s="35">
        <f t="shared" si="11"/>
        <v>8201</v>
      </c>
      <c r="W39" s="35">
        <f t="shared" si="11"/>
        <v>7428</v>
      </c>
      <c r="X39" s="89">
        <f t="shared" si="9"/>
        <v>164.00920000000005</v>
      </c>
      <c r="Y39" s="79">
        <f t="shared" si="9"/>
        <v>164.00920000000005</v>
      </c>
      <c r="Z39" s="37">
        <f t="shared" si="9"/>
        <v>125.25833333333334</v>
      </c>
      <c r="AA39" s="38">
        <f t="shared" si="8"/>
        <v>129.85920666666667</v>
      </c>
      <c r="AB39" s="90">
        <f t="shared" si="8"/>
        <v>108.375</v>
      </c>
      <c r="AC39" s="36">
        <f t="shared" si="8"/>
        <v>108.375</v>
      </c>
      <c r="AD39" s="37">
        <f t="shared" si="8"/>
        <v>80.458333333333329</v>
      </c>
      <c r="AE39" s="38">
        <f t="shared" si="8"/>
        <v>70.208333333333329</v>
      </c>
      <c r="AF39" s="90">
        <f t="shared" si="8"/>
        <v>93.308333333333337</v>
      </c>
      <c r="AG39" s="36">
        <f t="shared" si="8"/>
        <v>93.308333333333337</v>
      </c>
      <c r="AH39" s="37">
        <f t="shared" si="8"/>
        <v>68.341666666666669</v>
      </c>
      <c r="AI39" s="38">
        <f t="shared" si="8"/>
        <v>61.9</v>
      </c>
      <c r="AJ39" s="27"/>
      <c r="AN39" s="1">
        <v>11111011</v>
      </c>
      <c r="AO39" s="1" t="s">
        <v>362</v>
      </c>
      <c r="AP39" s="1" t="s">
        <v>362</v>
      </c>
      <c r="AQ39" s="334" t="s">
        <v>362</v>
      </c>
    </row>
    <row r="40" spans="1:43" x14ac:dyDescent="0.2">
      <c r="A40" s="27" t="str">
        <f t="shared" si="12"/>
        <v/>
      </c>
      <c r="B40" s="30" t="s">
        <v>28</v>
      </c>
      <c r="C40" s="31"/>
      <c r="D40" s="31" t="s">
        <v>29</v>
      </c>
      <c r="E40" s="34" t="s">
        <v>29</v>
      </c>
      <c r="F40" s="12" t="s">
        <v>28</v>
      </c>
      <c r="G40" s="9" t="s">
        <v>28</v>
      </c>
      <c r="H40" s="31" t="s">
        <v>29</v>
      </c>
      <c r="I40" s="31" t="s">
        <v>29</v>
      </c>
      <c r="J40" s="9"/>
      <c r="K40" s="10"/>
      <c r="L40" s="120">
        <v>17157.732000000004</v>
      </c>
      <c r="M40" s="35">
        <v>17157.732000000004</v>
      </c>
      <c r="N40" s="35">
        <v>13115</v>
      </c>
      <c r="O40" s="35">
        <v>13545.822</v>
      </c>
      <c r="P40" s="35">
        <v>10789</v>
      </c>
      <c r="Q40" s="35">
        <f t="shared" si="10"/>
        <v>10789</v>
      </c>
      <c r="R40" s="35">
        <f t="shared" si="10"/>
        <v>8013</v>
      </c>
      <c r="S40" s="35">
        <f t="shared" si="10"/>
        <v>7034</v>
      </c>
      <c r="T40" s="35">
        <v>9291</v>
      </c>
      <c r="U40" s="35">
        <f t="shared" si="11"/>
        <v>9291</v>
      </c>
      <c r="V40" s="35">
        <f t="shared" si="11"/>
        <v>6808</v>
      </c>
      <c r="W40" s="35">
        <f t="shared" si="11"/>
        <v>6202</v>
      </c>
      <c r="X40" s="89">
        <f t="shared" si="9"/>
        <v>142.98110000000003</v>
      </c>
      <c r="Y40" s="79">
        <f t="shared" si="9"/>
        <v>142.98110000000003</v>
      </c>
      <c r="Z40" s="37">
        <f t="shared" si="9"/>
        <v>109.29166666666667</v>
      </c>
      <c r="AA40" s="38">
        <f t="shared" si="8"/>
        <v>112.88185</v>
      </c>
      <c r="AB40" s="90">
        <f t="shared" si="8"/>
        <v>89.908333333333331</v>
      </c>
      <c r="AC40" s="36">
        <f t="shared" si="8"/>
        <v>89.908333333333331</v>
      </c>
      <c r="AD40" s="37">
        <f t="shared" si="8"/>
        <v>66.775000000000006</v>
      </c>
      <c r="AE40" s="38">
        <f t="shared" si="8"/>
        <v>58.616666666666667</v>
      </c>
      <c r="AF40" s="90">
        <f t="shared" si="8"/>
        <v>77.424999999999997</v>
      </c>
      <c r="AG40" s="36">
        <f t="shared" si="8"/>
        <v>77.424999999999997</v>
      </c>
      <c r="AH40" s="37">
        <f t="shared" si="8"/>
        <v>56.733333333333334</v>
      </c>
      <c r="AI40" s="38">
        <f t="shared" si="8"/>
        <v>51.68333333333333</v>
      </c>
      <c r="AJ40" s="27"/>
      <c r="AN40" s="1">
        <v>11111101</v>
      </c>
      <c r="AO40" s="1" t="s">
        <v>362</v>
      </c>
      <c r="AP40" s="1" t="s">
        <v>362</v>
      </c>
      <c r="AQ40" s="334" t="s">
        <v>362</v>
      </c>
    </row>
    <row r="41" spans="1:43" ht="14.5" thickBot="1" x14ac:dyDescent="0.25">
      <c r="A41" s="27" t="str">
        <f t="shared" si="12"/>
        <v/>
      </c>
      <c r="B41" s="39" t="s">
        <v>28</v>
      </c>
      <c r="C41" s="40" t="s">
        <v>29</v>
      </c>
      <c r="D41" s="40" t="s">
        <v>29</v>
      </c>
      <c r="E41" s="41" t="s">
        <v>29</v>
      </c>
      <c r="F41" s="4" t="s">
        <v>28</v>
      </c>
      <c r="G41" s="5" t="s">
        <v>28</v>
      </c>
      <c r="H41" s="5" t="s">
        <v>29</v>
      </c>
      <c r="I41" s="5" t="s">
        <v>29</v>
      </c>
      <c r="J41" s="5"/>
      <c r="K41" s="6"/>
      <c r="L41" s="100">
        <v>20688.609</v>
      </c>
      <c r="M41" s="43">
        <v>20688.609</v>
      </c>
      <c r="N41" s="43">
        <v>15796</v>
      </c>
      <c r="O41" s="43">
        <v>16396.529300000002</v>
      </c>
      <c r="P41" s="43">
        <v>14054</v>
      </c>
      <c r="Q41" s="55">
        <f t="shared" si="10"/>
        <v>14054</v>
      </c>
      <c r="R41" s="55">
        <f t="shared" si="10"/>
        <v>10433</v>
      </c>
      <c r="S41" s="55">
        <f t="shared" si="10"/>
        <v>9083</v>
      </c>
      <c r="T41" s="55">
        <v>12099</v>
      </c>
      <c r="U41" s="55">
        <f t="shared" si="11"/>
        <v>12099</v>
      </c>
      <c r="V41" s="55">
        <f t="shared" si="11"/>
        <v>8860</v>
      </c>
      <c r="W41" s="55">
        <f t="shared" si="11"/>
        <v>8009</v>
      </c>
      <c r="X41" s="96">
        <f t="shared" si="9"/>
        <v>172.40507500000001</v>
      </c>
      <c r="Y41" s="80">
        <f t="shared" si="9"/>
        <v>172.40507500000001</v>
      </c>
      <c r="Z41" s="45">
        <f t="shared" si="9"/>
        <v>131.63333333333333</v>
      </c>
      <c r="AA41" s="46">
        <f t="shared" si="8"/>
        <v>136.63774416666669</v>
      </c>
      <c r="AB41" s="92">
        <f t="shared" si="8"/>
        <v>117.11666666666666</v>
      </c>
      <c r="AC41" s="44">
        <f t="shared" si="8"/>
        <v>117.11666666666666</v>
      </c>
      <c r="AD41" s="45">
        <f t="shared" si="8"/>
        <v>86.941666666666663</v>
      </c>
      <c r="AE41" s="46">
        <f t="shared" si="8"/>
        <v>75.691666666666663</v>
      </c>
      <c r="AF41" s="92">
        <f t="shared" si="8"/>
        <v>100.825</v>
      </c>
      <c r="AG41" s="44">
        <f t="shared" si="8"/>
        <v>100.825</v>
      </c>
      <c r="AH41" s="45">
        <f t="shared" si="8"/>
        <v>73.833333333333329</v>
      </c>
      <c r="AI41" s="46">
        <f t="shared" si="8"/>
        <v>66.74166666666666</v>
      </c>
      <c r="AJ41" s="27"/>
      <c r="AN41" s="1">
        <v>11111111</v>
      </c>
      <c r="AO41" s="1" t="s">
        <v>362</v>
      </c>
      <c r="AP41" s="1" t="s">
        <v>362</v>
      </c>
      <c r="AQ41" s="334" t="s">
        <v>362</v>
      </c>
    </row>
    <row r="42" spans="1:43" ht="14.5" thickTop="1" x14ac:dyDescent="0.2">
      <c r="A42" s="27" t="str">
        <f t="shared" si="12"/>
        <v/>
      </c>
      <c r="B42" s="47" t="s">
        <v>28</v>
      </c>
      <c r="C42" s="48" t="s">
        <v>29</v>
      </c>
      <c r="D42" s="48"/>
      <c r="E42" s="49"/>
      <c r="F42" s="11" t="s">
        <v>28</v>
      </c>
      <c r="G42" s="7"/>
      <c r="H42" s="7" t="s">
        <v>28</v>
      </c>
      <c r="I42" s="7"/>
      <c r="J42" s="48" t="s">
        <v>29</v>
      </c>
      <c r="K42" s="50"/>
      <c r="L42" s="87">
        <v>17996</v>
      </c>
      <c r="M42" s="51">
        <f t="shared" ref="M42:O48" si="13">ROUNDDOWN(AVERAGE(M35,M49),0)</f>
        <v>17996</v>
      </c>
      <c r="N42" s="51">
        <f t="shared" si="13"/>
        <v>13751</v>
      </c>
      <c r="O42" s="51">
        <f t="shared" si="13"/>
        <v>14222</v>
      </c>
      <c r="P42" s="51">
        <v>12432.835200000001</v>
      </c>
      <c r="Q42" s="51">
        <v>12432.835200000001</v>
      </c>
      <c r="R42" s="51">
        <v>9231</v>
      </c>
      <c r="S42" s="51">
        <v>8065.8143999999993</v>
      </c>
      <c r="T42" s="51">
        <v>10704.899817919999</v>
      </c>
      <c r="U42" s="51">
        <v>10704.899817919999</v>
      </c>
      <c r="V42" s="51">
        <v>7841.2834000000003</v>
      </c>
      <c r="W42" s="51">
        <v>7111.7235053600016</v>
      </c>
      <c r="X42" s="93">
        <f t="shared" si="9"/>
        <v>149.96666666666667</v>
      </c>
      <c r="Y42" s="81">
        <f t="shared" si="9"/>
        <v>149.96666666666667</v>
      </c>
      <c r="Z42" s="53">
        <f t="shared" si="9"/>
        <v>114.59166666666667</v>
      </c>
      <c r="AA42" s="54">
        <f t="shared" si="8"/>
        <v>118.51666666666667</v>
      </c>
      <c r="AB42" s="94">
        <f t="shared" si="8"/>
        <v>103.60696000000002</v>
      </c>
      <c r="AC42" s="52">
        <f t="shared" si="8"/>
        <v>103.60696000000002</v>
      </c>
      <c r="AD42" s="53">
        <f t="shared" si="8"/>
        <v>76.924999999999997</v>
      </c>
      <c r="AE42" s="54">
        <f t="shared" si="8"/>
        <v>67.215119999999999</v>
      </c>
      <c r="AF42" s="94">
        <f t="shared" si="8"/>
        <v>89.207498482666651</v>
      </c>
      <c r="AG42" s="52">
        <f t="shared" si="8"/>
        <v>89.207498482666651</v>
      </c>
      <c r="AH42" s="53">
        <f t="shared" si="8"/>
        <v>65.344028333333341</v>
      </c>
      <c r="AI42" s="54">
        <f t="shared" si="8"/>
        <v>59.264362544666682</v>
      </c>
      <c r="AJ42" s="27"/>
      <c r="AN42" s="1">
        <v>101010011</v>
      </c>
      <c r="AO42" s="1">
        <v>111010011</v>
      </c>
      <c r="AP42" s="1">
        <v>101110011</v>
      </c>
      <c r="AQ42" s="28">
        <v>11110011</v>
      </c>
    </row>
    <row r="43" spans="1:43" x14ac:dyDescent="0.2">
      <c r="A43" s="27" t="str">
        <f t="shared" si="12"/>
        <v/>
      </c>
      <c r="B43" s="30" t="s">
        <v>28</v>
      </c>
      <c r="C43" s="31"/>
      <c r="D43" s="31" t="s">
        <v>29</v>
      </c>
      <c r="E43" s="34"/>
      <c r="F43" s="12" t="s">
        <v>28</v>
      </c>
      <c r="G43" s="9"/>
      <c r="H43" s="9" t="s">
        <v>28</v>
      </c>
      <c r="I43" s="9"/>
      <c r="J43" s="31" t="s">
        <v>29</v>
      </c>
      <c r="K43" s="32"/>
      <c r="L43" s="112">
        <v>14103</v>
      </c>
      <c r="M43" s="35">
        <f t="shared" si="13"/>
        <v>14103</v>
      </c>
      <c r="N43" s="35">
        <f t="shared" si="13"/>
        <v>10796</v>
      </c>
      <c r="O43" s="35">
        <f t="shared" si="13"/>
        <v>11080</v>
      </c>
      <c r="P43" s="35">
        <v>10348.321200000006</v>
      </c>
      <c r="Q43" s="35">
        <v>10348.321200000006</v>
      </c>
      <c r="R43" s="35">
        <v>7686</v>
      </c>
      <c r="S43" s="35">
        <v>6758.126400000001</v>
      </c>
      <c r="T43" s="35">
        <v>8911.7642895200006</v>
      </c>
      <c r="U43" s="35">
        <v>8911.7642895200006</v>
      </c>
      <c r="V43" s="35">
        <v>6531.277900000001</v>
      </c>
      <c r="W43" s="35">
        <v>5958.3946631600011</v>
      </c>
      <c r="X43" s="89">
        <f t="shared" si="9"/>
        <v>117.52500000000001</v>
      </c>
      <c r="Y43" s="79">
        <f t="shared" si="9"/>
        <v>117.52500000000001</v>
      </c>
      <c r="Z43" s="37">
        <f t="shared" si="9"/>
        <v>89.966666666666669</v>
      </c>
      <c r="AA43" s="38">
        <f t="shared" si="8"/>
        <v>92.333333333333329</v>
      </c>
      <c r="AB43" s="90">
        <f t="shared" si="8"/>
        <v>86.23601000000005</v>
      </c>
      <c r="AC43" s="36">
        <f t="shared" si="8"/>
        <v>86.23601000000005</v>
      </c>
      <c r="AD43" s="37">
        <f t="shared" si="8"/>
        <v>64.05</v>
      </c>
      <c r="AE43" s="38">
        <f t="shared" si="8"/>
        <v>56.317720000000008</v>
      </c>
      <c r="AF43" s="90">
        <f t="shared" si="8"/>
        <v>74.264702412666665</v>
      </c>
      <c r="AG43" s="36">
        <f t="shared" si="8"/>
        <v>74.264702412666665</v>
      </c>
      <c r="AH43" s="37">
        <f t="shared" si="8"/>
        <v>54.427315833333338</v>
      </c>
      <c r="AI43" s="38">
        <f t="shared" si="8"/>
        <v>49.653288859666674</v>
      </c>
      <c r="AJ43" s="27"/>
      <c r="AN43" s="1">
        <v>101010101</v>
      </c>
      <c r="AO43" s="1">
        <v>111010101</v>
      </c>
      <c r="AP43" s="1">
        <v>101110101</v>
      </c>
      <c r="AQ43" s="28">
        <v>11110101</v>
      </c>
    </row>
    <row r="44" spans="1:43" x14ac:dyDescent="0.2">
      <c r="A44" s="27" t="str">
        <f t="shared" si="12"/>
        <v/>
      </c>
      <c r="B44" s="30" t="s">
        <v>28</v>
      </c>
      <c r="C44" s="31"/>
      <c r="D44" s="31"/>
      <c r="E44" s="34" t="s">
        <v>29</v>
      </c>
      <c r="F44" s="12" t="s">
        <v>28</v>
      </c>
      <c r="G44" s="9"/>
      <c r="H44" s="9" t="s">
        <v>28</v>
      </c>
      <c r="I44" s="9"/>
      <c r="J44" s="31" t="s">
        <v>29</v>
      </c>
      <c r="K44" s="32"/>
      <c r="L44" s="112">
        <v>16183</v>
      </c>
      <c r="M44" s="35">
        <f t="shared" si="13"/>
        <v>16183</v>
      </c>
      <c r="N44" s="35">
        <f t="shared" si="13"/>
        <v>12375</v>
      </c>
      <c r="O44" s="35">
        <f t="shared" si="13"/>
        <v>12758</v>
      </c>
      <c r="P44" s="35">
        <v>10391.495600000002</v>
      </c>
      <c r="Q44" s="35">
        <v>10391.495600000002</v>
      </c>
      <c r="R44" s="35">
        <v>7718</v>
      </c>
      <c r="S44" s="35">
        <v>6785.2112000000016</v>
      </c>
      <c r="T44" s="35">
        <v>8948.9036661600003</v>
      </c>
      <c r="U44" s="35">
        <v>8948.9036661600003</v>
      </c>
      <c r="V44" s="35">
        <v>6558.4107000000004</v>
      </c>
      <c r="W44" s="35">
        <v>5982.2823802800012</v>
      </c>
      <c r="X44" s="89">
        <f t="shared" si="9"/>
        <v>134.85833333333332</v>
      </c>
      <c r="Y44" s="79">
        <f t="shared" si="9"/>
        <v>134.85833333333332</v>
      </c>
      <c r="Z44" s="37">
        <f t="shared" si="9"/>
        <v>103.125</v>
      </c>
      <c r="AA44" s="38">
        <f t="shared" si="8"/>
        <v>106.31666666666666</v>
      </c>
      <c r="AB44" s="90">
        <f t="shared" si="8"/>
        <v>86.595796666666686</v>
      </c>
      <c r="AC44" s="36">
        <f t="shared" si="8"/>
        <v>86.595796666666686</v>
      </c>
      <c r="AD44" s="37">
        <f t="shared" si="8"/>
        <v>64.316666666666663</v>
      </c>
      <c r="AE44" s="38">
        <f t="shared" si="8"/>
        <v>56.543426666666683</v>
      </c>
      <c r="AF44" s="90">
        <f t="shared" si="8"/>
        <v>74.574197218000009</v>
      </c>
      <c r="AG44" s="36">
        <f t="shared" si="8"/>
        <v>74.574197218000009</v>
      </c>
      <c r="AH44" s="37">
        <f t="shared" si="8"/>
        <v>54.653422500000005</v>
      </c>
      <c r="AI44" s="38">
        <f t="shared" si="8"/>
        <v>49.852353169000011</v>
      </c>
      <c r="AJ44" s="27"/>
      <c r="AN44" s="1">
        <v>101011001</v>
      </c>
      <c r="AO44" s="1">
        <v>111011001</v>
      </c>
      <c r="AP44" s="1">
        <v>101111001</v>
      </c>
      <c r="AQ44" s="28">
        <v>11111001</v>
      </c>
    </row>
    <row r="45" spans="1:43" x14ac:dyDescent="0.2">
      <c r="A45" s="27" t="str">
        <f t="shared" si="12"/>
        <v/>
      </c>
      <c r="B45" s="30" t="s">
        <v>28</v>
      </c>
      <c r="C45" s="31" t="s">
        <v>29</v>
      </c>
      <c r="D45" s="31" t="s">
        <v>29</v>
      </c>
      <c r="E45" s="34"/>
      <c r="F45" s="12" t="s">
        <v>28</v>
      </c>
      <c r="G45" s="9"/>
      <c r="H45" s="9" t="s">
        <v>28</v>
      </c>
      <c r="I45" s="9"/>
      <c r="J45" s="115" t="s">
        <v>29</v>
      </c>
      <c r="K45" s="116"/>
      <c r="L45" s="121">
        <v>18924</v>
      </c>
      <c r="M45" s="35">
        <f t="shared" si="13"/>
        <v>18924</v>
      </c>
      <c r="N45" s="35">
        <f t="shared" si="13"/>
        <v>14456</v>
      </c>
      <c r="O45" s="35">
        <f t="shared" si="13"/>
        <v>14972</v>
      </c>
      <c r="P45" s="35">
        <v>13456.878000000001</v>
      </c>
      <c r="Q45" s="35">
        <v>13456.878000000001</v>
      </c>
      <c r="R45" s="35">
        <v>9990</v>
      </c>
      <c r="S45" s="35">
        <v>8708.232</v>
      </c>
      <c r="T45" s="35">
        <v>11585.799407600003</v>
      </c>
      <c r="U45" s="35">
        <v>11585.799407600003</v>
      </c>
      <c r="V45" s="35">
        <v>8484.8395000000019</v>
      </c>
      <c r="W45" s="35">
        <v>7678.3102958000018</v>
      </c>
      <c r="X45" s="89">
        <f t="shared" si="9"/>
        <v>157.69999999999999</v>
      </c>
      <c r="Y45" s="79">
        <f t="shared" si="9"/>
        <v>157.69999999999999</v>
      </c>
      <c r="Z45" s="37">
        <f t="shared" si="9"/>
        <v>120.46666666666667</v>
      </c>
      <c r="AA45" s="38">
        <f t="shared" si="8"/>
        <v>124.76666666666667</v>
      </c>
      <c r="AB45" s="90">
        <f t="shared" si="8"/>
        <v>112.14065000000001</v>
      </c>
      <c r="AC45" s="36">
        <f t="shared" si="8"/>
        <v>112.14065000000001</v>
      </c>
      <c r="AD45" s="37">
        <f t="shared" si="8"/>
        <v>83.25</v>
      </c>
      <c r="AE45" s="38">
        <f t="shared" si="8"/>
        <v>72.568600000000004</v>
      </c>
      <c r="AF45" s="90">
        <f t="shared" si="8"/>
        <v>96.54832839666669</v>
      </c>
      <c r="AG45" s="36">
        <f t="shared" si="8"/>
        <v>96.54832839666669</v>
      </c>
      <c r="AH45" s="37">
        <f t="shared" si="8"/>
        <v>70.706995833333352</v>
      </c>
      <c r="AI45" s="38">
        <f t="shared" si="8"/>
        <v>63.985919131666684</v>
      </c>
      <c r="AJ45" s="27"/>
      <c r="AN45" s="1">
        <v>101010111</v>
      </c>
      <c r="AO45" s="1">
        <v>111010111</v>
      </c>
      <c r="AP45" s="1">
        <v>101110111</v>
      </c>
      <c r="AQ45" s="28">
        <v>11110111</v>
      </c>
    </row>
    <row r="46" spans="1:43" x14ac:dyDescent="0.2">
      <c r="A46" s="27" t="str">
        <f t="shared" si="12"/>
        <v/>
      </c>
      <c r="B46" s="30" t="s">
        <v>28</v>
      </c>
      <c r="C46" s="31" t="s">
        <v>29</v>
      </c>
      <c r="D46" s="31"/>
      <c r="E46" s="34" t="s">
        <v>29</v>
      </c>
      <c r="F46" s="12" t="s">
        <v>28</v>
      </c>
      <c r="G46" s="9"/>
      <c r="H46" s="9" t="s">
        <v>28</v>
      </c>
      <c r="I46" s="9"/>
      <c r="J46" s="31" t="s">
        <v>29</v>
      </c>
      <c r="K46" s="32"/>
      <c r="L46" s="112">
        <v>21427</v>
      </c>
      <c r="M46" s="35">
        <f t="shared" si="13"/>
        <v>21427</v>
      </c>
      <c r="N46" s="35">
        <f t="shared" si="13"/>
        <v>16357</v>
      </c>
      <c r="O46" s="35">
        <f t="shared" si="13"/>
        <v>16993</v>
      </c>
      <c r="P46" s="35">
        <v>13537.830000000002</v>
      </c>
      <c r="Q46" s="35">
        <v>13537.830000000002</v>
      </c>
      <c r="R46" s="35">
        <v>10050</v>
      </c>
      <c r="S46" s="35">
        <v>8759.0159999999996</v>
      </c>
      <c r="T46" s="35">
        <v>11655.435738800003</v>
      </c>
      <c r="U46" s="35">
        <v>11655.435738800003</v>
      </c>
      <c r="V46" s="35">
        <v>8535.7135000000017</v>
      </c>
      <c r="W46" s="35">
        <v>7723.0997654000021</v>
      </c>
      <c r="X46" s="89">
        <f t="shared" si="9"/>
        <v>178.55833333333334</v>
      </c>
      <c r="Y46" s="79">
        <f t="shared" si="9"/>
        <v>178.55833333333334</v>
      </c>
      <c r="Z46" s="37">
        <f t="shared" si="9"/>
        <v>136.30833333333334</v>
      </c>
      <c r="AA46" s="38">
        <f t="shared" si="8"/>
        <v>141.60833333333332</v>
      </c>
      <c r="AB46" s="90">
        <f t="shared" si="8"/>
        <v>112.81525000000002</v>
      </c>
      <c r="AC46" s="36">
        <f t="shared" si="8"/>
        <v>112.81525000000002</v>
      </c>
      <c r="AD46" s="37">
        <f t="shared" si="8"/>
        <v>83.75</v>
      </c>
      <c r="AE46" s="38">
        <f t="shared" si="8"/>
        <v>72.991799999999998</v>
      </c>
      <c r="AF46" s="90">
        <f t="shared" si="8"/>
        <v>97.128631156666685</v>
      </c>
      <c r="AG46" s="36">
        <f t="shared" si="8"/>
        <v>97.128631156666685</v>
      </c>
      <c r="AH46" s="37">
        <f t="shared" si="8"/>
        <v>71.130945833333342</v>
      </c>
      <c r="AI46" s="38">
        <f t="shared" si="8"/>
        <v>64.359164711666679</v>
      </c>
      <c r="AJ46" s="27"/>
      <c r="AN46" s="1">
        <v>101011011</v>
      </c>
      <c r="AO46" s="1">
        <v>111011011</v>
      </c>
      <c r="AP46" s="1">
        <v>101111011</v>
      </c>
      <c r="AQ46" s="28">
        <v>11111011</v>
      </c>
    </row>
    <row r="47" spans="1:43" x14ac:dyDescent="0.2">
      <c r="A47" s="27" t="str">
        <f t="shared" si="12"/>
        <v/>
      </c>
      <c r="B47" s="30" t="s">
        <v>28</v>
      </c>
      <c r="C47" s="31"/>
      <c r="D47" s="31" t="s">
        <v>29</v>
      </c>
      <c r="E47" s="34" t="s">
        <v>29</v>
      </c>
      <c r="F47" s="12" t="s">
        <v>28</v>
      </c>
      <c r="G47" s="9"/>
      <c r="H47" s="9" t="s">
        <v>28</v>
      </c>
      <c r="I47" s="9"/>
      <c r="J47" s="31" t="s">
        <v>29</v>
      </c>
      <c r="K47" s="32"/>
      <c r="L47" s="112">
        <v>18924</v>
      </c>
      <c r="M47" s="35">
        <f t="shared" si="13"/>
        <v>18924</v>
      </c>
      <c r="N47" s="35">
        <f t="shared" si="13"/>
        <v>14456</v>
      </c>
      <c r="O47" s="35">
        <f t="shared" si="13"/>
        <v>14972</v>
      </c>
      <c r="P47" s="35">
        <v>11388.554400000001</v>
      </c>
      <c r="Q47" s="35">
        <v>11388.554400000001</v>
      </c>
      <c r="R47" s="35">
        <v>8457</v>
      </c>
      <c r="S47" s="35">
        <v>7410.7007999999987</v>
      </c>
      <c r="T47" s="35">
        <v>9806.5911454400011</v>
      </c>
      <c r="U47" s="35">
        <v>9806.5911454400011</v>
      </c>
      <c r="V47" s="35">
        <v>7185.0087999999996</v>
      </c>
      <c r="W47" s="35">
        <v>6533.9393475200013</v>
      </c>
      <c r="X47" s="89">
        <f t="shared" si="9"/>
        <v>157.69999999999999</v>
      </c>
      <c r="Y47" s="79">
        <f t="shared" si="9"/>
        <v>157.69999999999999</v>
      </c>
      <c r="Z47" s="37">
        <f t="shared" si="9"/>
        <v>120.46666666666667</v>
      </c>
      <c r="AA47" s="38">
        <f t="shared" si="8"/>
        <v>124.76666666666667</v>
      </c>
      <c r="AB47" s="90">
        <f t="shared" si="8"/>
        <v>94.904620000000008</v>
      </c>
      <c r="AC47" s="36">
        <f t="shared" si="8"/>
        <v>94.904620000000008</v>
      </c>
      <c r="AD47" s="37">
        <f t="shared" si="8"/>
        <v>70.474999999999994</v>
      </c>
      <c r="AE47" s="38">
        <f t="shared" si="8"/>
        <v>61.755839999999992</v>
      </c>
      <c r="AF47" s="90">
        <f t="shared" si="8"/>
        <v>81.721592878666669</v>
      </c>
      <c r="AG47" s="36">
        <f t="shared" si="8"/>
        <v>81.721592878666669</v>
      </c>
      <c r="AH47" s="37">
        <f t="shared" si="8"/>
        <v>59.875073333333333</v>
      </c>
      <c r="AI47" s="38">
        <f t="shared" si="8"/>
        <v>54.449494562666679</v>
      </c>
      <c r="AJ47" s="27"/>
      <c r="AN47" s="1">
        <v>101011101</v>
      </c>
      <c r="AO47" s="1">
        <v>111011101</v>
      </c>
      <c r="AP47" s="1">
        <v>101111101</v>
      </c>
      <c r="AQ47" s="28">
        <v>11111101</v>
      </c>
    </row>
    <row r="48" spans="1:43" ht="14.5" thickBot="1" x14ac:dyDescent="0.25">
      <c r="A48" s="27" t="str">
        <f t="shared" si="12"/>
        <v/>
      </c>
      <c r="B48" s="39" t="s">
        <v>28</v>
      </c>
      <c r="C48" s="40" t="s">
        <v>29</v>
      </c>
      <c r="D48" s="40" t="s">
        <v>29</v>
      </c>
      <c r="E48" s="41" t="s">
        <v>29</v>
      </c>
      <c r="F48" s="4" t="s">
        <v>28</v>
      </c>
      <c r="G48" s="5"/>
      <c r="H48" s="5" t="s">
        <v>28</v>
      </c>
      <c r="I48" s="5"/>
      <c r="J48" s="5" t="s">
        <v>29</v>
      </c>
      <c r="K48" s="6"/>
      <c r="L48" s="95">
        <v>22435</v>
      </c>
      <c r="M48" s="55">
        <f t="shared" si="13"/>
        <v>22435</v>
      </c>
      <c r="N48" s="55">
        <f t="shared" si="13"/>
        <v>17122</v>
      </c>
      <c r="O48" s="55">
        <f t="shared" si="13"/>
        <v>17806</v>
      </c>
      <c r="P48" s="55">
        <v>14587.507600000001</v>
      </c>
      <c r="Q48" s="55">
        <v>14587.507600000001</v>
      </c>
      <c r="R48" s="55">
        <v>10828</v>
      </c>
      <c r="S48" s="55">
        <v>9417.5152000000016</v>
      </c>
      <c r="T48" s="55">
        <v>12558.38683336</v>
      </c>
      <c r="U48" s="55">
        <v>12558.38683336</v>
      </c>
      <c r="V48" s="55">
        <v>9195.3797000000013</v>
      </c>
      <c r="W48" s="55">
        <v>8303.8698878800024</v>
      </c>
      <c r="X48" s="96">
        <f t="shared" si="9"/>
        <v>186.95833333333334</v>
      </c>
      <c r="Y48" s="82">
        <f t="shared" si="9"/>
        <v>186.95833333333334</v>
      </c>
      <c r="Z48" s="57">
        <f t="shared" si="9"/>
        <v>142.68333333333334</v>
      </c>
      <c r="AA48" s="58">
        <f t="shared" si="8"/>
        <v>148.38333333333333</v>
      </c>
      <c r="AB48" s="97">
        <f t="shared" si="8"/>
        <v>121.56256333333334</v>
      </c>
      <c r="AC48" s="56">
        <f t="shared" si="8"/>
        <v>121.56256333333334</v>
      </c>
      <c r="AD48" s="57">
        <f t="shared" si="8"/>
        <v>90.233333333333334</v>
      </c>
      <c r="AE48" s="58">
        <f t="shared" si="8"/>
        <v>78.479293333333345</v>
      </c>
      <c r="AF48" s="97">
        <f t="shared" si="8"/>
        <v>104.65322361133333</v>
      </c>
      <c r="AG48" s="56">
        <f t="shared" si="8"/>
        <v>104.65322361133333</v>
      </c>
      <c r="AH48" s="57">
        <f t="shared" si="8"/>
        <v>76.628164166666679</v>
      </c>
      <c r="AI48" s="58">
        <f t="shared" si="8"/>
        <v>69.198915732333347</v>
      </c>
      <c r="AJ48" s="27"/>
      <c r="AN48" s="1">
        <v>101011111</v>
      </c>
      <c r="AO48" s="1">
        <v>111011111</v>
      </c>
      <c r="AP48" s="1">
        <v>101111111</v>
      </c>
      <c r="AQ48" s="28">
        <v>11111111</v>
      </c>
    </row>
    <row r="49" spans="1:43" ht="14.5" thickTop="1" x14ac:dyDescent="0.2">
      <c r="A49" s="27" t="str">
        <f t="shared" si="12"/>
        <v/>
      </c>
      <c r="B49" s="47" t="s">
        <v>28</v>
      </c>
      <c r="C49" s="48" t="s">
        <v>29</v>
      </c>
      <c r="D49" s="48"/>
      <c r="E49" s="49"/>
      <c r="F49" s="11" t="s">
        <v>28</v>
      </c>
      <c r="G49" s="7" t="s">
        <v>28</v>
      </c>
      <c r="H49" s="7" t="s">
        <v>28</v>
      </c>
      <c r="I49" s="7" t="s">
        <v>28</v>
      </c>
      <c r="J49" s="48" t="s">
        <v>29</v>
      </c>
      <c r="K49" s="50" t="s">
        <v>29</v>
      </c>
      <c r="L49" s="87">
        <v>19761.441000000006</v>
      </c>
      <c r="M49" s="59">
        <v>19761.441000000006</v>
      </c>
      <c r="N49" s="59">
        <v>15092</v>
      </c>
      <c r="O49" s="59">
        <v>15647.966100000001</v>
      </c>
      <c r="P49" s="59">
        <v>13487</v>
      </c>
      <c r="Q49" s="51">
        <f t="shared" ref="Q49:S55" si="14">ROUNDDOWN(Q35*Q42/Q21,0)</f>
        <v>13487</v>
      </c>
      <c r="R49" s="51">
        <f t="shared" si="14"/>
        <v>10013</v>
      </c>
      <c r="S49" s="51">
        <f t="shared" si="14"/>
        <v>8723</v>
      </c>
      <c r="T49" s="51">
        <v>11611</v>
      </c>
      <c r="U49" s="51">
        <f t="shared" ref="U49:W55" si="15">ROUNDDOWN(U35*U42/U21,0)</f>
        <v>11611</v>
      </c>
      <c r="V49" s="51">
        <f t="shared" si="15"/>
        <v>8504</v>
      </c>
      <c r="W49" s="51">
        <f t="shared" si="15"/>
        <v>7692</v>
      </c>
      <c r="X49" s="93">
        <f t="shared" si="9"/>
        <v>164.67867500000006</v>
      </c>
      <c r="Y49" s="83">
        <f t="shared" si="9"/>
        <v>164.67867500000006</v>
      </c>
      <c r="Z49" s="61">
        <f t="shared" si="9"/>
        <v>125.76666666666667</v>
      </c>
      <c r="AA49" s="62">
        <f t="shared" si="8"/>
        <v>130.39971750000001</v>
      </c>
      <c r="AB49" s="99">
        <f t="shared" si="8"/>
        <v>112.39166666666667</v>
      </c>
      <c r="AC49" s="60">
        <f t="shared" si="8"/>
        <v>112.39166666666667</v>
      </c>
      <c r="AD49" s="61">
        <f t="shared" si="8"/>
        <v>83.441666666666663</v>
      </c>
      <c r="AE49" s="62">
        <f t="shared" si="8"/>
        <v>72.691666666666663</v>
      </c>
      <c r="AF49" s="99">
        <f t="shared" si="8"/>
        <v>96.75833333333334</v>
      </c>
      <c r="AG49" s="60">
        <f t="shared" si="8"/>
        <v>96.75833333333334</v>
      </c>
      <c r="AH49" s="61">
        <f t="shared" si="8"/>
        <v>70.86666666666666</v>
      </c>
      <c r="AI49" s="62">
        <f t="shared" si="8"/>
        <v>64.099999999999994</v>
      </c>
      <c r="AJ49" s="27"/>
      <c r="AN49" s="1">
        <v>1111110011</v>
      </c>
      <c r="AO49" s="1" t="s">
        <v>362</v>
      </c>
      <c r="AP49" s="1" t="s">
        <v>362</v>
      </c>
      <c r="AQ49" s="334" t="s">
        <v>362</v>
      </c>
    </row>
    <row r="50" spans="1:43" x14ac:dyDescent="0.2">
      <c r="A50" s="27" t="str">
        <f t="shared" si="12"/>
        <v/>
      </c>
      <c r="B50" s="30" t="s">
        <v>28</v>
      </c>
      <c r="C50" s="31"/>
      <c r="D50" s="31" t="s">
        <v>29</v>
      </c>
      <c r="E50" s="34"/>
      <c r="F50" s="12" t="s">
        <v>28</v>
      </c>
      <c r="G50" s="9" t="s">
        <v>28</v>
      </c>
      <c r="H50" s="9" t="s">
        <v>28</v>
      </c>
      <c r="I50" s="9" t="s">
        <v>28</v>
      </c>
      <c r="J50" s="31" t="s">
        <v>29</v>
      </c>
      <c r="K50" s="32" t="s">
        <v>29</v>
      </c>
      <c r="L50" s="112">
        <v>16044.867000000006</v>
      </c>
      <c r="M50" s="35">
        <v>16044.867000000006</v>
      </c>
      <c r="N50" s="35">
        <v>12270</v>
      </c>
      <c r="O50" s="35">
        <v>12647.333500000001</v>
      </c>
      <c r="P50" s="59">
        <v>11613</v>
      </c>
      <c r="Q50" s="59">
        <f t="shared" si="14"/>
        <v>11613</v>
      </c>
      <c r="R50" s="59">
        <f t="shared" si="14"/>
        <v>8623</v>
      </c>
      <c r="S50" s="59">
        <f t="shared" si="14"/>
        <v>7545</v>
      </c>
      <c r="T50" s="59">
        <v>10000</v>
      </c>
      <c r="U50" s="59">
        <f t="shared" si="15"/>
        <v>10000</v>
      </c>
      <c r="V50" s="59">
        <f t="shared" si="15"/>
        <v>7326</v>
      </c>
      <c r="W50" s="59">
        <f t="shared" si="15"/>
        <v>6653</v>
      </c>
      <c r="X50" s="101">
        <f t="shared" si="9"/>
        <v>133.70722500000005</v>
      </c>
      <c r="Y50" s="79">
        <f t="shared" si="9"/>
        <v>133.70722500000005</v>
      </c>
      <c r="Z50" s="37">
        <f t="shared" si="9"/>
        <v>102.25</v>
      </c>
      <c r="AA50" s="38">
        <f t="shared" si="8"/>
        <v>105.39444583333334</v>
      </c>
      <c r="AB50" s="90">
        <f t="shared" si="8"/>
        <v>96.775000000000006</v>
      </c>
      <c r="AC50" s="36">
        <f t="shared" si="8"/>
        <v>96.775000000000006</v>
      </c>
      <c r="AD50" s="37">
        <f t="shared" si="8"/>
        <v>71.858333333333334</v>
      </c>
      <c r="AE50" s="38">
        <f t="shared" si="8"/>
        <v>62.875</v>
      </c>
      <c r="AF50" s="90">
        <f t="shared" si="8"/>
        <v>83.333333333333329</v>
      </c>
      <c r="AG50" s="36">
        <f t="shared" si="8"/>
        <v>83.333333333333329</v>
      </c>
      <c r="AH50" s="37">
        <f t="shared" si="8"/>
        <v>61.05</v>
      </c>
      <c r="AI50" s="38">
        <f t="shared" si="8"/>
        <v>55.44166666666667</v>
      </c>
      <c r="AJ50" s="27"/>
      <c r="AN50" s="1">
        <v>1111110101</v>
      </c>
      <c r="AO50" s="1" t="s">
        <v>362</v>
      </c>
      <c r="AP50" s="1" t="s">
        <v>362</v>
      </c>
      <c r="AQ50" s="334" t="s">
        <v>362</v>
      </c>
    </row>
    <row r="51" spans="1:43" x14ac:dyDescent="0.2">
      <c r="A51" s="27" t="str">
        <f t="shared" si="12"/>
        <v/>
      </c>
      <c r="B51" s="30" t="s">
        <v>28</v>
      </c>
      <c r="C51" s="31"/>
      <c r="D51" s="31"/>
      <c r="E51" s="34" t="s">
        <v>29</v>
      </c>
      <c r="F51" s="12" t="s">
        <v>28</v>
      </c>
      <c r="G51" s="9" t="s">
        <v>28</v>
      </c>
      <c r="H51" s="9" t="s">
        <v>28</v>
      </c>
      <c r="I51" s="9" t="s">
        <v>28</v>
      </c>
      <c r="J51" s="31" t="s">
        <v>29</v>
      </c>
      <c r="K51" s="32" t="s">
        <v>29</v>
      </c>
      <c r="L51" s="112">
        <v>18116.508000000002</v>
      </c>
      <c r="M51" s="35">
        <v>18116.508000000002</v>
      </c>
      <c r="N51" s="35">
        <v>13843</v>
      </c>
      <c r="O51" s="35">
        <v>14319.904400000003</v>
      </c>
      <c r="P51" s="59">
        <v>11651</v>
      </c>
      <c r="Q51" s="59">
        <f t="shared" si="14"/>
        <v>11651</v>
      </c>
      <c r="R51" s="59">
        <f t="shared" si="14"/>
        <v>8652</v>
      </c>
      <c r="S51" s="59">
        <f t="shared" si="14"/>
        <v>7570</v>
      </c>
      <c r="T51" s="59">
        <v>10032</v>
      </c>
      <c r="U51" s="59">
        <f t="shared" si="15"/>
        <v>10032</v>
      </c>
      <c r="V51" s="59">
        <f t="shared" si="15"/>
        <v>7350</v>
      </c>
      <c r="W51" s="59">
        <f t="shared" si="15"/>
        <v>6674</v>
      </c>
      <c r="X51" s="101">
        <f t="shared" si="9"/>
        <v>150.9709</v>
      </c>
      <c r="Y51" s="79">
        <f t="shared" si="9"/>
        <v>150.9709</v>
      </c>
      <c r="Z51" s="37">
        <f t="shared" si="9"/>
        <v>115.35833333333333</v>
      </c>
      <c r="AA51" s="38">
        <f t="shared" si="8"/>
        <v>119.3325366666667</v>
      </c>
      <c r="AB51" s="90">
        <f t="shared" si="8"/>
        <v>97.091666666666669</v>
      </c>
      <c r="AC51" s="36">
        <f t="shared" si="8"/>
        <v>97.091666666666669</v>
      </c>
      <c r="AD51" s="37">
        <f t="shared" si="8"/>
        <v>72.099999999999994</v>
      </c>
      <c r="AE51" s="38">
        <f t="shared" si="8"/>
        <v>63.083333333333336</v>
      </c>
      <c r="AF51" s="90">
        <f t="shared" si="8"/>
        <v>83.6</v>
      </c>
      <c r="AG51" s="36">
        <f t="shared" si="8"/>
        <v>83.6</v>
      </c>
      <c r="AH51" s="37">
        <f t="shared" si="8"/>
        <v>61.25</v>
      </c>
      <c r="AI51" s="38">
        <f t="shared" si="8"/>
        <v>55.616666666666667</v>
      </c>
      <c r="AJ51" s="27"/>
      <c r="AN51" s="1">
        <v>1111111001</v>
      </c>
      <c r="AO51" s="1" t="s">
        <v>362</v>
      </c>
      <c r="AP51" s="1" t="s">
        <v>362</v>
      </c>
      <c r="AQ51" s="334" t="s">
        <v>362</v>
      </c>
    </row>
    <row r="52" spans="1:43" x14ac:dyDescent="0.2">
      <c r="A52" s="27" t="str">
        <f t="shared" si="12"/>
        <v/>
      </c>
      <c r="B52" s="30" t="s">
        <v>28</v>
      </c>
      <c r="C52" s="31" t="s">
        <v>29</v>
      </c>
      <c r="D52" s="31" t="s">
        <v>29</v>
      </c>
      <c r="E52" s="34"/>
      <c r="F52" s="12" t="s">
        <v>28</v>
      </c>
      <c r="G52" s="9" t="s">
        <v>28</v>
      </c>
      <c r="H52" s="9" t="s">
        <v>28</v>
      </c>
      <c r="I52" s="9" t="s">
        <v>28</v>
      </c>
      <c r="J52" s="115" t="s">
        <v>29</v>
      </c>
      <c r="K52" s="116" t="s">
        <v>29</v>
      </c>
      <c r="L52" s="121">
        <v>20691.243000000002</v>
      </c>
      <c r="M52" s="35">
        <v>20691.243000000002</v>
      </c>
      <c r="N52" s="35">
        <v>15798</v>
      </c>
      <c r="O52" s="35">
        <v>16398.655900000002</v>
      </c>
      <c r="P52" s="59">
        <v>14501</v>
      </c>
      <c r="Q52" s="59">
        <f t="shared" si="14"/>
        <v>14501</v>
      </c>
      <c r="R52" s="59">
        <f t="shared" si="14"/>
        <v>10764</v>
      </c>
      <c r="S52" s="59">
        <f t="shared" si="14"/>
        <v>9361</v>
      </c>
      <c r="T52" s="59">
        <v>12484</v>
      </c>
      <c r="U52" s="59">
        <f t="shared" si="15"/>
        <v>12484</v>
      </c>
      <c r="V52" s="59">
        <f t="shared" si="15"/>
        <v>9141</v>
      </c>
      <c r="W52" s="59">
        <f t="shared" si="15"/>
        <v>8255</v>
      </c>
      <c r="X52" s="101">
        <f t="shared" si="9"/>
        <v>172.42702500000001</v>
      </c>
      <c r="Y52" s="79">
        <f t="shared" si="9"/>
        <v>172.42702500000001</v>
      </c>
      <c r="Z52" s="37">
        <f t="shared" si="9"/>
        <v>131.65</v>
      </c>
      <c r="AA52" s="38">
        <f t="shared" si="8"/>
        <v>136.65546583333335</v>
      </c>
      <c r="AB52" s="90">
        <f t="shared" si="8"/>
        <v>120.84166666666667</v>
      </c>
      <c r="AC52" s="36">
        <f t="shared" si="8"/>
        <v>120.84166666666667</v>
      </c>
      <c r="AD52" s="37">
        <f t="shared" si="8"/>
        <v>89.7</v>
      </c>
      <c r="AE52" s="38">
        <f t="shared" si="8"/>
        <v>78.00833333333334</v>
      </c>
      <c r="AF52" s="90">
        <f t="shared" si="8"/>
        <v>104.03333333333333</v>
      </c>
      <c r="AG52" s="36">
        <f t="shared" si="8"/>
        <v>104.03333333333333</v>
      </c>
      <c r="AH52" s="37">
        <f t="shared" si="8"/>
        <v>76.174999999999997</v>
      </c>
      <c r="AI52" s="38">
        <f t="shared" si="8"/>
        <v>68.791666666666671</v>
      </c>
      <c r="AJ52" s="27"/>
      <c r="AN52" s="1">
        <v>1111110111</v>
      </c>
      <c r="AO52" s="1" t="s">
        <v>362</v>
      </c>
      <c r="AP52" s="1" t="s">
        <v>362</v>
      </c>
      <c r="AQ52" s="334" t="s">
        <v>362</v>
      </c>
    </row>
    <row r="53" spans="1:43" x14ac:dyDescent="0.2">
      <c r="A53" s="27" t="str">
        <f>IF(OR($BC$10=$AN53,$BC$10=$AO53,$BC$10=$AP53,$BC$10=$AQ53),"★","")</f>
        <v/>
      </c>
      <c r="B53" s="30" t="s">
        <v>28</v>
      </c>
      <c r="C53" s="31" t="s">
        <v>29</v>
      </c>
      <c r="D53" s="31"/>
      <c r="E53" s="34" t="s">
        <v>29</v>
      </c>
      <c r="F53" s="12" t="s">
        <v>28</v>
      </c>
      <c r="G53" s="9" t="s">
        <v>28</v>
      </c>
      <c r="H53" s="9" t="s">
        <v>28</v>
      </c>
      <c r="I53" s="9" t="s">
        <v>28</v>
      </c>
      <c r="J53" s="31" t="s">
        <v>29</v>
      </c>
      <c r="K53" s="32" t="s">
        <v>29</v>
      </c>
      <c r="L53" s="112">
        <v>23173.788</v>
      </c>
      <c r="M53" s="35">
        <v>23173.788</v>
      </c>
      <c r="N53" s="35">
        <v>17683</v>
      </c>
      <c r="O53" s="35">
        <v>18402.976400000003</v>
      </c>
      <c r="P53" s="59">
        <v>14576</v>
      </c>
      <c r="Q53" s="59">
        <f t="shared" si="14"/>
        <v>14576</v>
      </c>
      <c r="R53" s="59">
        <f t="shared" si="14"/>
        <v>10819</v>
      </c>
      <c r="S53" s="59">
        <f t="shared" si="14"/>
        <v>9408</v>
      </c>
      <c r="T53" s="59">
        <v>12548</v>
      </c>
      <c r="U53" s="59">
        <f t="shared" si="15"/>
        <v>12548</v>
      </c>
      <c r="V53" s="59">
        <f t="shared" si="15"/>
        <v>9188</v>
      </c>
      <c r="W53" s="59">
        <f t="shared" si="15"/>
        <v>8296</v>
      </c>
      <c r="X53" s="101">
        <f t="shared" si="9"/>
        <v>193.11490000000001</v>
      </c>
      <c r="Y53" s="79">
        <f t="shared" si="9"/>
        <v>193.11490000000001</v>
      </c>
      <c r="Z53" s="37">
        <f t="shared" si="9"/>
        <v>147.35833333333332</v>
      </c>
      <c r="AA53" s="38">
        <f t="shared" si="8"/>
        <v>153.3581366666667</v>
      </c>
      <c r="AB53" s="90">
        <f t="shared" si="8"/>
        <v>121.46666666666667</v>
      </c>
      <c r="AC53" s="36">
        <f t="shared" si="8"/>
        <v>121.46666666666667</v>
      </c>
      <c r="AD53" s="37">
        <f t="shared" si="8"/>
        <v>90.158333333333331</v>
      </c>
      <c r="AE53" s="38">
        <f t="shared" si="8"/>
        <v>78.400000000000006</v>
      </c>
      <c r="AF53" s="90">
        <f t="shared" si="8"/>
        <v>104.56666666666666</v>
      </c>
      <c r="AG53" s="36">
        <f t="shared" si="8"/>
        <v>104.56666666666666</v>
      </c>
      <c r="AH53" s="37">
        <f t="shared" si="8"/>
        <v>76.566666666666663</v>
      </c>
      <c r="AI53" s="38">
        <f t="shared" si="8"/>
        <v>69.13333333333334</v>
      </c>
      <c r="AJ53" s="27"/>
      <c r="AN53" s="1">
        <v>1111111011</v>
      </c>
      <c r="AO53" s="1" t="s">
        <v>362</v>
      </c>
      <c r="AP53" s="1" t="s">
        <v>362</v>
      </c>
      <c r="AQ53" s="334" t="s">
        <v>362</v>
      </c>
    </row>
    <row r="54" spans="1:43" x14ac:dyDescent="0.2">
      <c r="A54" s="27" t="str">
        <f t="shared" si="12"/>
        <v/>
      </c>
      <c r="B54" s="30" t="s">
        <v>28</v>
      </c>
      <c r="C54" s="31"/>
      <c r="D54" s="31" t="s">
        <v>29</v>
      </c>
      <c r="E54" s="34" t="s">
        <v>29</v>
      </c>
      <c r="F54" s="12" t="s">
        <v>28</v>
      </c>
      <c r="G54" s="9" t="s">
        <v>28</v>
      </c>
      <c r="H54" s="9" t="s">
        <v>28</v>
      </c>
      <c r="I54" s="9" t="s">
        <v>28</v>
      </c>
      <c r="J54" s="31" t="s">
        <v>29</v>
      </c>
      <c r="K54" s="32" t="s">
        <v>29</v>
      </c>
      <c r="L54" s="112">
        <v>20691.243000000002</v>
      </c>
      <c r="M54" s="35">
        <v>20691.243000000002</v>
      </c>
      <c r="N54" s="35">
        <v>15798</v>
      </c>
      <c r="O54" s="35">
        <v>16398.655900000002</v>
      </c>
      <c r="P54" s="59">
        <v>12633</v>
      </c>
      <c r="Q54" s="59">
        <f t="shared" si="14"/>
        <v>12633</v>
      </c>
      <c r="R54" s="59">
        <f t="shared" si="14"/>
        <v>9379</v>
      </c>
      <c r="S54" s="59">
        <f t="shared" si="14"/>
        <v>8187</v>
      </c>
      <c r="T54" s="59">
        <v>10877</v>
      </c>
      <c r="U54" s="59">
        <f t="shared" si="15"/>
        <v>10877</v>
      </c>
      <c r="V54" s="59">
        <f t="shared" si="15"/>
        <v>7966</v>
      </c>
      <c r="W54" s="59">
        <f t="shared" si="15"/>
        <v>7218</v>
      </c>
      <c r="X54" s="101">
        <f t="shared" si="9"/>
        <v>172.42702500000001</v>
      </c>
      <c r="Y54" s="79">
        <f t="shared" si="9"/>
        <v>172.42702500000001</v>
      </c>
      <c r="Z54" s="37">
        <f t="shared" si="9"/>
        <v>131.65</v>
      </c>
      <c r="AA54" s="38">
        <f t="shared" si="8"/>
        <v>136.65546583333335</v>
      </c>
      <c r="AB54" s="90">
        <f t="shared" si="8"/>
        <v>105.27500000000001</v>
      </c>
      <c r="AC54" s="36">
        <f t="shared" si="8"/>
        <v>105.27500000000001</v>
      </c>
      <c r="AD54" s="37">
        <f t="shared" si="8"/>
        <v>78.158333333333331</v>
      </c>
      <c r="AE54" s="38">
        <f t="shared" si="8"/>
        <v>68.224999999999994</v>
      </c>
      <c r="AF54" s="90">
        <f t="shared" si="8"/>
        <v>90.641666666666666</v>
      </c>
      <c r="AG54" s="36">
        <f t="shared" si="8"/>
        <v>90.641666666666666</v>
      </c>
      <c r="AH54" s="37">
        <f t="shared" si="8"/>
        <v>66.38333333333334</v>
      </c>
      <c r="AI54" s="38">
        <f t="shared" si="8"/>
        <v>60.15</v>
      </c>
      <c r="AJ54" s="27"/>
      <c r="AN54" s="1">
        <v>1111111101</v>
      </c>
      <c r="AO54" s="1" t="s">
        <v>362</v>
      </c>
      <c r="AP54" s="1" t="s">
        <v>362</v>
      </c>
      <c r="AQ54" s="334" t="s">
        <v>362</v>
      </c>
    </row>
    <row r="55" spans="1:43" x14ac:dyDescent="0.2">
      <c r="A55" s="27" t="str">
        <f t="shared" si="12"/>
        <v/>
      </c>
      <c r="B55" s="30" t="s">
        <v>28</v>
      </c>
      <c r="C55" s="31" t="s">
        <v>29</v>
      </c>
      <c r="D55" s="31" t="s">
        <v>29</v>
      </c>
      <c r="E55" s="34" t="s">
        <v>29</v>
      </c>
      <c r="F55" s="12" t="s">
        <v>28</v>
      </c>
      <c r="G55" s="9" t="s">
        <v>28</v>
      </c>
      <c r="H55" s="9" t="s">
        <v>28</v>
      </c>
      <c r="I55" s="9" t="s">
        <v>28</v>
      </c>
      <c r="J55" s="9" t="s">
        <v>29</v>
      </c>
      <c r="K55" s="10" t="s">
        <v>29</v>
      </c>
      <c r="L55" s="120">
        <v>24182.61</v>
      </c>
      <c r="M55" s="35">
        <v>24182.61</v>
      </c>
      <c r="N55" s="35">
        <v>18449</v>
      </c>
      <c r="O55" s="35">
        <v>19217.464200000002</v>
      </c>
      <c r="P55" s="59">
        <v>15618</v>
      </c>
      <c r="Q55" s="59">
        <f t="shared" si="14"/>
        <v>15618</v>
      </c>
      <c r="R55" s="59">
        <f t="shared" si="14"/>
        <v>11592</v>
      </c>
      <c r="S55" s="59">
        <f t="shared" si="14"/>
        <v>10063</v>
      </c>
      <c r="T55" s="59">
        <v>13445</v>
      </c>
      <c r="U55" s="59">
        <f t="shared" si="15"/>
        <v>13445</v>
      </c>
      <c r="V55" s="59">
        <f t="shared" si="15"/>
        <v>9843</v>
      </c>
      <c r="W55" s="59">
        <f t="shared" si="15"/>
        <v>8873</v>
      </c>
      <c r="X55" s="101">
        <f t="shared" si="9"/>
        <v>201.52175</v>
      </c>
      <c r="Y55" s="79">
        <f t="shared" si="9"/>
        <v>201.52175</v>
      </c>
      <c r="Z55" s="37">
        <f t="shared" si="9"/>
        <v>153.74166666666667</v>
      </c>
      <c r="AA55" s="38">
        <f t="shared" si="8"/>
        <v>160.14553500000002</v>
      </c>
      <c r="AB55" s="90">
        <f t="shared" si="8"/>
        <v>130.15</v>
      </c>
      <c r="AC55" s="36">
        <f t="shared" si="8"/>
        <v>130.15</v>
      </c>
      <c r="AD55" s="37">
        <f t="shared" si="8"/>
        <v>96.6</v>
      </c>
      <c r="AE55" s="38">
        <f t="shared" si="8"/>
        <v>83.858333333333334</v>
      </c>
      <c r="AF55" s="90">
        <f t="shared" si="8"/>
        <v>112.04166666666667</v>
      </c>
      <c r="AG55" s="36">
        <f t="shared" si="8"/>
        <v>112.04166666666667</v>
      </c>
      <c r="AH55" s="37">
        <f t="shared" si="8"/>
        <v>82.025000000000006</v>
      </c>
      <c r="AI55" s="38">
        <f t="shared" si="8"/>
        <v>73.941666666666663</v>
      </c>
      <c r="AJ55" s="27"/>
      <c r="AN55" s="1">
        <v>1111111111</v>
      </c>
      <c r="AO55" s="1" t="s">
        <v>362</v>
      </c>
      <c r="AP55" s="1" t="s">
        <v>362</v>
      </c>
      <c r="AQ55" s="334" t="s">
        <v>362</v>
      </c>
    </row>
    <row r="56" spans="1:43" x14ac:dyDescent="0.2">
      <c r="AJ56" s="27"/>
    </row>
    <row r="57" spans="1:43" x14ac:dyDescent="0.2">
      <c r="B57" s="2" t="s">
        <v>43</v>
      </c>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27"/>
      <c r="AK57" s="14"/>
      <c r="AL57" s="14"/>
      <c r="AM57" s="14"/>
      <c r="AN57" s="14"/>
      <c r="AO57" s="14"/>
    </row>
    <row r="58" spans="1:43" x14ac:dyDescent="0.2">
      <c r="AJ58" s="27"/>
    </row>
    <row r="59" spans="1:43" x14ac:dyDescent="0.2">
      <c r="B59" s="366" t="s">
        <v>14</v>
      </c>
      <c r="C59" s="367" t="s">
        <v>34</v>
      </c>
      <c r="D59" s="367" t="s">
        <v>40</v>
      </c>
      <c r="E59" s="367" t="s">
        <v>41</v>
      </c>
      <c r="F59" s="368" t="s">
        <v>62</v>
      </c>
      <c r="G59" s="367" t="s">
        <v>34</v>
      </c>
      <c r="H59" s="367" t="s">
        <v>40</v>
      </c>
      <c r="I59" s="367" t="s">
        <v>41</v>
      </c>
      <c r="J59" s="368" t="s">
        <v>63</v>
      </c>
      <c r="K59" s="367" t="s">
        <v>34</v>
      </c>
      <c r="L59" s="367" t="s">
        <v>40</v>
      </c>
      <c r="M59" s="367" t="s">
        <v>41</v>
      </c>
      <c r="N59" s="368" t="s">
        <v>64</v>
      </c>
      <c r="O59" s="367" t="s">
        <v>34</v>
      </c>
      <c r="P59" s="367" t="s">
        <v>40</v>
      </c>
      <c r="Q59" s="367" t="s">
        <v>41</v>
      </c>
      <c r="R59" s="368" t="s">
        <v>65</v>
      </c>
      <c r="S59" s="367" t="s">
        <v>34</v>
      </c>
      <c r="T59" s="367" t="s">
        <v>40</v>
      </c>
      <c r="U59" s="367" t="s">
        <v>41</v>
      </c>
      <c r="V59" s="368" t="s">
        <v>60</v>
      </c>
      <c r="W59" s="367" t="s">
        <v>34</v>
      </c>
      <c r="X59" s="367" t="s">
        <v>40</v>
      </c>
      <c r="Y59" s="367" t="s">
        <v>41</v>
      </c>
      <c r="Z59" s="368" t="s">
        <v>61</v>
      </c>
      <c r="AA59" s="367" t="s">
        <v>34</v>
      </c>
      <c r="AB59" s="367" t="s">
        <v>40</v>
      </c>
      <c r="AC59" s="367" t="s">
        <v>41</v>
      </c>
      <c r="AD59" s="368" t="s">
        <v>71</v>
      </c>
      <c r="AE59" s="367" t="s">
        <v>34</v>
      </c>
      <c r="AF59" s="367" t="s">
        <v>40</v>
      </c>
      <c r="AG59" s="367" t="s">
        <v>41</v>
      </c>
      <c r="AH59" s="368" t="s">
        <v>72</v>
      </c>
      <c r="AI59" s="367" t="s">
        <v>34</v>
      </c>
      <c r="AJ59" s="367" t="s">
        <v>40</v>
      </c>
      <c r="AK59" s="367" t="s">
        <v>41</v>
      </c>
    </row>
    <row r="60" spans="1:43" x14ac:dyDescent="0.2">
      <c r="B60" s="366"/>
      <c r="C60" s="367"/>
      <c r="D60" s="367"/>
      <c r="E60" s="367"/>
      <c r="F60" s="368"/>
      <c r="G60" s="367"/>
      <c r="H60" s="367"/>
      <c r="I60" s="367"/>
      <c r="J60" s="368"/>
      <c r="K60" s="367"/>
      <c r="L60" s="367"/>
      <c r="M60" s="367"/>
      <c r="N60" s="368"/>
      <c r="O60" s="367"/>
      <c r="P60" s="367"/>
      <c r="Q60" s="367"/>
      <c r="R60" s="368"/>
      <c r="S60" s="367"/>
      <c r="T60" s="367"/>
      <c r="U60" s="367"/>
      <c r="V60" s="368"/>
      <c r="W60" s="367"/>
      <c r="X60" s="367"/>
      <c r="Y60" s="367"/>
      <c r="Z60" s="368"/>
      <c r="AA60" s="367"/>
      <c r="AB60" s="367"/>
      <c r="AC60" s="367"/>
      <c r="AD60" s="368"/>
      <c r="AE60" s="367"/>
      <c r="AF60" s="367"/>
      <c r="AG60" s="367"/>
      <c r="AH60" s="368"/>
      <c r="AI60" s="367"/>
      <c r="AJ60" s="367"/>
      <c r="AK60" s="367"/>
    </row>
    <row r="61" spans="1:43" x14ac:dyDescent="0.2">
      <c r="B61" s="22" t="s">
        <v>76</v>
      </c>
      <c r="C61" s="15" t="str">
        <f>IF(AND(判定!C$5=TRUE,(様式１!$N$4+2018-様式１!$K$20)&gt;=36),VLOOKUP("★",計算!A7:AI55,24,FALSE),"")</f>
        <v/>
      </c>
      <c r="D61" s="21" t="str">
        <f>IF(AND(判定!C$5=TRUE,AND((様式１!$N$4+2018-様式１!$K$20)&gt;=26,(様式１!$N$4+2018-様式１!$K$20)&lt;36)),VLOOKUP("★",計算!$A$7:$AI$55,28,FALSE),"")</f>
        <v/>
      </c>
      <c r="E61" s="15" t="str">
        <f>IF(AND(判定!C$5=TRUE,(様式１!$N$4+2018-様式１!$K$20)&lt;26),VLOOKUP("★",計算!$A$7:$AI$55,32,FALSE),"")</f>
        <v/>
      </c>
      <c r="F61" s="22" t="s">
        <v>76</v>
      </c>
      <c r="G61" s="119" t="str">
        <f>IF(AND(判定!$C$5=TRUE,(様式１!$N$4+2018-様式１!$K$20)&gt;=36),VLOOKUP("★",$A$72:$S$79,8,FALSE),"")</f>
        <v/>
      </c>
      <c r="H61" s="119" t="str">
        <f>IF(AND(判定!$C$5=TRUE,AND((様式１!$N$4+2018-様式１!$K$20)&gt;=26,(様式１!$N$4+2018-様式１!$K$20)&lt;36)),VLOOKUP("★",$A$72:$S$79,12,FALSE),"")</f>
        <v/>
      </c>
      <c r="I61" s="119" t="str">
        <f>IF(AND(判定!$C$5=TRUE,(様式１!$N$4+2018-様式１!$K$20)&lt;26),VLOOKUP("★",$A$72:$S$79,16,FALSE),"")</f>
        <v/>
      </c>
      <c r="J61" s="22" t="s">
        <v>76</v>
      </c>
      <c r="K61" s="119" t="str">
        <f>IF(AND(判定!$C$5=TRUE,(様式１!$N$4+2018-様式１!$K$20)&gt;=36),VLOOKUP("★",$A$80:$S$87,8,FALSE),"")</f>
        <v/>
      </c>
      <c r="L61" s="119" t="str">
        <f>IF(AND(判定!$C$5=TRUE,AND((様式１!$N$4+2018-様式１!$K$20)&gt;=26,(様式１!$N$4+2018-様式１!$K$20)&lt;36)),VLOOKUP("★",$A$80:$S$87,12,FALSE),"")</f>
        <v/>
      </c>
      <c r="M61" s="119" t="str">
        <f>IF(AND(判定!$C$5=TRUE,(様式１!$N$4+2018-様式１!$K$20)&lt;26),VLOOKUP("★",$A$80:$S$87,16,FALSE),"")</f>
        <v/>
      </c>
      <c r="N61" s="22" t="s">
        <v>76</v>
      </c>
      <c r="O61" s="119" t="str">
        <f>IF(AND(判定!$C$5=TRUE,(様式１!$N$4+2018-様式１!$K$20)&gt;=36),VLOOKUP("★",$A$88:$S$95,8,FALSE),"")</f>
        <v/>
      </c>
      <c r="P61" s="119" t="str">
        <f>IF(AND(判定!$C$5=TRUE,AND((様式１!$N$4+2018-様式１!$K$20)&gt;=26,(様式１!$N$4+2018-様式１!$K$20)&lt;36)),VLOOKUP("★",$A$88:$S$95,12,FALSE),"")</f>
        <v/>
      </c>
      <c r="Q61" s="119" t="str">
        <f>IF(AND(判定!$C$5=TRUE,(様式１!$N$4+2018-様式１!$K$20)&lt;26),VLOOKUP("★",$A$88:$S$95,16,FALSE),"")</f>
        <v/>
      </c>
      <c r="R61" s="22" t="s">
        <v>76</v>
      </c>
      <c r="S61" s="119" t="str">
        <f>IF(AND(判定!$C$5=TRUE,(様式１!$N$4+2018-様式１!$K$20)&gt;=36),VLOOKUP("★",$A$96:$S$103,8,FALSE),"")</f>
        <v/>
      </c>
      <c r="T61" s="119" t="str">
        <f>IF(AND(判定!$C$5=TRUE,AND((様式１!$N$4+2018-様式１!$K$20)&gt;=26,(様式１!$N$4+2018-様式１!$K$20)&lt;36)),VLOOKUP("★",$A$96:$S$103,12,FALSE),"")</f>
        <v/>
      </c>
      <c r="U61" s="119" t="str">
        <f>IF(AND(判定!$C$5=TRUE,(様式１!$N$4+2018-様式１!$K$20)&lt;26),VLOOKUP("★",$A$96:$S$103,16,FALSE),"")</f>
        <v/>
      </c>
      <c r="V61" s="22" t="s">
        <v>76</v>
      </c>
      <c r="W61" s="119" t="str">
        <f>IF(AND(判定!$C$5=TRUE,(様式１!$N$4+2018-様式１!$K$20)&gt;=36),VLOOKUP("★",$A$104:$S$111,8,FALSE),"")</f>
        <v/>
      </c>
      <c r="X61" s="119" t="str">
        <f>IF(AND(判定!$C$5=TRUE,AND((様式１!$N$4+2018-様式１!$K$20)&gt;=26,(様式１!$N$4+2018-様式１!$K$20)&lt;36)),VLOOKUP("★",$A$104:$S$111,12,FALSE),"")</f>
        <v/>
      </c>
      <c r="Y61" s="119" t="str">
        <f>IF(AND(判定!$C$5=TRUE,(様式１!$N$4+2018-様式１!$K$20)&lt;26),VLOOKUP("★",$A$104:$S$111,16,FALSE),"")</f>
        <v/>
      </c>
      <c r="Z61" s="22" t="s">
        <v>76</v>
      </c>
      <c r="AA61" s="119" t="str">
        <f>IF(AND(判定!$C$5=TRUE,(様式１!$N$4+2018-様式１!$K$20)&gt;=36),VLOOKUP("★",$A$112:$S$119,8,FALSE),"")</f>
        <v/>
      </c>
      <c r="AB61" s="119" t="str">
        <f>IF(AND(判定!$C$5=TRUE,AND((様式１!$N$4+2018-様式１!$K$20)&gt;=26,(様式１!$N$4+2018-様式１!$K$20)&lt;36)),VLOOKUP("★",$A$112:$S$119,12,FALSE),"")</f>
        <v/>
      </c>
      <c r="AC61" s="119" t="str">
        <f>IF(AND(判定!$C$5=TRUE,(様式１!$N$4+2018-様式１!$K$20)&lt;26),VLOOKUP("★",$A$112:$S$119,16,FALSE),"")</f>
        <v/>
      </c>
      <c r="AD61" s="22" t="s">
        <v>76</v>
      </c>
      <c r="AE61" s="119" t="str">
        <f>IF(AND(判定!$C$5=TRUE,(様式１!$N$4+2018-様式１!$K$20)&gt;=36),VLOOKUP("★",$A$120:$S$127,8,FALSE),"")</f>
        <v/>
      </c>
      <c r="AF61" s="119" t="str">
        <f>IF(AND(判定!$C$5=TRUE,AND((様式１!$N$4+2018-様式１!$K$20)&gt;=26,(様式１!$N$4+2018-様式１!$K$20)&lt;36)),VLOOKUP("★",$A$120:$S$127,12,FALSE),"")</f>
        <v/>
      </c>
      <c r="AG61" s="119" t="str">
        <f>IF(AND(判定!$C$5=TRUE,(様式１!$N$4+2018-様式１!$K$20)&lt;26),VLOOKUP("★",$A$120:$S$127,16,FALSE),"")</f>
        <v/>
      </c>
      <c r="AH61" s="22" t="s">
        <v>76</v>
      </c>
      <c r="AI61" s="119" t="str">
        <f>IF(AND(判定!$C$5=TRUE,(様式１!$N$4+2018-様式１!$K$20)&gt;=36),VLOOKUP("★",$A$128:$S$135,8,FALSE),"")</f>
        <v/>
      </c>
      <c r="AJ61" s="119" t="str">
        <f>IF(AND(判定!$C$5=TRUE,AND((様式１!$N$4+2018-様式１!$K$20)&gt;=26,(様式１!$N$4+2018-様式１!$K$20)&lt;36)),VLOOKUP("★",$A$128:$S$135,12,FALSE),"")</f>
        <v/>
      </c>
      <c r="AK61" s="119" t="str">
        <f>IF(AND(判定!$C$5=TRUE,(様式１!$N$4+2018-様式１!$K$20)&lt;26),VLOOKUP("★",$A$128:$S$135,16,FALSE),"")</f>
        <v/>
      </c>
    </row>
    <row r="62" spans="1:43" x14ac:dyDescent="0.2">
      <c r="B62" s="22" t="s">
        <v>37</v>
      </c>
      <c r="C62" s="15" t="str">
        <f>IF(AND(判定!C$6=TRUE,(様式１!$N$4+2018-様式１!$K$20)&gt;=36),VLOOKUP("★",計算!A7:AI55,25,FALSE),"")</f>
        <v/>
      </c>
      <c r="D62" s="21" t="str">
        <f>IF(AND(判定!C$6=TRUE,AND((様式１!$N$4+2018-様式１!$K$20)&gt;=26,(様式１!$N$4+2018-様式１!$K$20)&lt;36)),VLOOKUP("★",計算!$A$7:$AI$55,29,FALSE),"")</f>
        <v/>
      </c>
      <c r="E62" s="15" t="str">
        <f>IF(AND(判定!C$6=TRUE,(様式１!$N$4+2018-様式１!$K$20)&lt;26),VLOOKUP("★",計算!$A$7:$AI$55,33,FALSE),"")</f>
        <v/>
      </c>
      <c r="F62" s="119" t="s">
        <v>37</v>
      </c>
      <c r="G62" s="119" t="str">
        <f>IF(AND(判定!$C$6=TRUE,(様式１!$N$4+2018-様式１!$K$20)&gt;=36),VLOOKUP("★",$A$72:$S$79,9,FALSE),"")</f>
        <v/>
      </c>
      <c r="H62" s="119" t="str">
        <f>IF(AND(判定!$C$6=TRUE,AND((様式１!$N$4+2018-様式１!$K$20)&gt;=26,(様式１!$N$4+2018-様式１!$K$20)&lt;36)),VLOOKUP("★",$A$72:$S$79,13,FALSE),"")</f>
        <v/>
      </c>
      <c r="I62" s="119" t="str">
        <f>IF(AND(判定!$C$6=TRUE,(様式１!$N$4+2018-様式１!$K$20)&lt;26),VLOOKUP("★",$A$72:$S$79,17,FALSE),"")</f>
        <v/>
      </c>
      <c r="J62" s="119" t="s">
        <v>37</v>
      </c>
      <c r="K62" s="119" t="str">
        <f>IF(AND(判定!$C$6=TRUE,(様式１!$N$4+2018-様式１!$K$20)&gt;=36),VLOOKUP("★",$A$80:$S$87,9,FALSE),"")</f>
        <v/>
      </c>
      <c r="L62" s="119" t="str">
        <f>IF(AND(判定!$C$6=TRUE,AND((様式１!$N$4+2018-様式１!$K$20)&gt;=26,(様式１!$N$4+2018-様式１!$K$20)&lt;36)),VLOOKUP("★",$A$80:$S$87,13,FALSE),"")</f>
        <v/>
      </c>
      <c r="M62" s="119" t="str">
        <f>IF(AND(判定!$C$6=TRUE,(様式１!$N$4+2018-様式１!$K$20)&lt;26),VLOOKUP("★",$A$80:$S$87,17,FALSE),"")</f>
        <v/>
      </c>
      <c r="N62" s="119" t="s">
        <v>37</v>
      </c>
      <c r="O62" s="119" t="str">
        <f>IF(AND(判定!$C$6=TRUE,(様式１!$N$4+2018-様式１!$K$20)&gt;=36),VLOOKUP("★",$A$88:$S$95,9,FALSE),"")</f>
        <v/>
      </c>
      <c r="P62" s="119" t="str">
        <f>IF(AND(判定!$C$6=TRUE,AND((様式１!$N$4+2018-様式１!$K$20)&gt;=26,(様式１!$N$4+2018-様式１!$K$20)&lt;36)),VLOOKUP("★",$A$88:$S$95,13,FALSE),"")</f>
        <v/>
      </c>
      <c r="Q62" s="119" t="str">
        <f>IF(AND(判定!$C$6=TRUE,(様式１!$N$4+2018-様式１!$K$20)&lt;26),VLOOKUP("★",$A$88:$S$95,17,FALSE),"")</f>
        <v/>
      </c>
      <c r="R62" s="119" t="s">
        <v>37</v>
      </c>
      <c r="S62" s="119" t="str">
        <f>IF(AND(判定!$C$6=TRUE,(様式１!$N$4+2018-様式１!$K$20)&gt;=36),VLOOKUP("★",$A$96:$S$103,9,FALSE),"")</f>
        <v/>
      </c>
      <c r="T62" s="119" t="str">
        <f>IF(AND(判定!$C$6=TRUE,AND((様式１!$N$4+2018-様式１!$K$20)&gt;=26,(様式１!$N$4+2018-様式１!$K$20)&lt;36)),VLOOKUP("★",$A$96:$S$103,13,FALSE),"")</f>
        <v/>
      </c>
      <c r="U62" s="119" t="str">
        <f>IF(AND(判定!$C$6=TRUE,(様式１!$N$4+2018-様式１!$K$20)&lt;26),VLOOKUP("★",$A$96:$S$103,17,FALSE),"")</f>
        <v/>
      </c>
      <c r="V62" s="119" t="s">
        <v>37</v>
      </c>
      <c r="W62" s="119" t="str">
        <f>IF(AND(判定!$C$6=TRUE,(様式１!$N$4+2018-様式１!$K$20)&gt;=36),VLOOKUP("★",$A$104:$S$111,9,FALSE),"")</f>
        <v/>
      </c>
      <c r="X62" s="119" t="str">
        <f>IF(AND(判定!$C$6=TRUE,AND((様式１!$N$4+2018-様式１!$K$20)&gt;=26,(様式１!$N$4+2018-様式１!$K$20)&lt;36)),VLOOKUP("★",$A$104:$S$111,13,FALSE),"")</f>
        <v/>
      </c>
      <c r="Y62" s="119" t="str">
        <f>IF(AND(判定!$C$6=TRUE,(様式１!$N$4+2018-様式１!$K$20)&lt;26),VLOOKUP("★",$A$104:$S$111,17,FALSE),"")</f>
        <v/>
      </c>
      <c r="Z62" s="119" t="s">
        <v>37</v>
      </c>
      <c r="AA62" s="119" t="str">
        <f>IF(AND(判定!$C$6=TRUE,(様式１!$N$4+2018-様式１!$K$20)&gt;=36),VLOOKUP("★",$A$112:$S$119,9,FALSE),"")</f>
        <v/>
      </c>
      <c r="AB62" s="119" t="str">
        <f>IF(AND(判定!$C$6=TRUE,AND((様式１!$N$4+2018-様式１!$K$20)&gt;=26,(様式１!$N$4+2018-様式１!$K$20)&lt;36)),VLOOKUP("★",$A$112:$S$119,13,FALSE),"")</f>
        <v/>
      </c>
      <c r="AC62" s="119" t="str">
        <f>IF(AND(判定!$C$6=TRUE,(様式１!$N$4+2018-様式１!$K$20)&lt;26),VLOOKUP("★",$A$112:$S$119,17,FALSE),"")</f>
        <v/>
      </c>
      <c r="AD62" s="119" t="s">
        <v>37</v>
      </c>
      <c r="AE62" s="119" t="str">
        <f>IF(AND(判定!$C$6=TRUE,(様式１!$N$4+2018-様式１!$K$20)&gt;=36),VLOOKUP("★",$A$120:$S$127,9,FALSE),"")</f>
        <v/>
      </c>
      <c r="AF62" s="119" t="str">
        <f>IF(AND(判定!$C$6=TRUE,AND((様式１!$N$4+2018-様式１!$K$20)&gt;=26,(様式１!$N$4+2018-様式１!$K$20)&lt;36)),VLOOKUP("★",$A$120:$S$127,13,FALSE),"")</f>
        <v/>
      </c>
      <c r="AG62" s="119" t="str">
        <f>IF(AND(判定!$C$6=TRUE,(様式１!$N$4+2018-様式１!$K$20)&lt;26),VLOOKUP("★",$A$120:$S$127,17,FALSE),"")</f>
        <v/>
      </c>
      <c r="AH62" s="119" t="s">
        <v>37</v>
      </c>
      <c r="AI62" s="119" t="str">
        <f>IF(AND(判定!$C$6=TRUE,(様式１!$N$4+2018-様式１!$K$20)&gt;=36),VLOOKUP("★",$A$128:$S$135,9,FALSE),"")</f>
        <v/>
      </c>
      <c r="AJ62" s="119" t="str">
        <f>IF(AND(判定!$C$6=TRUE,AND((様式１!$N$4+2018-様式１!$K$20)&gt;=26,(様式１!$N$4+2018-様式１!$K$20)&lt;36)),VLOOKUP("★",$A$128:$S$135,13,FALSE),"")</f>
        <v/>
      </c>
      <c r="AK62" s="119" t="str">
        <f>IF(AND(判定!$C$6=TRUE,(様式１!$N$4+2018-様式１!$K$20)&lt;26),VLOOKUP("★",$A$128:$S$135,17,FALSE),"")</f>
        <v/>
      </c>
    </row>
    <row r="63" spans="1:43" x14ac:dyDescent="0.2">
      <c r="B63" s="22" t="s">
        <v>38</v>
      </c>
      <c r="C63" s="15" t="str">
        <f>IF(AND(判定!C$7=TRUE,(様式１!$N$4+2018-様式１!$K$20)&gt;=36),VLOOKUP("★",計算!A7:AI55,26,FALSE),"")</f>
        <v/>
      </c>
      <c r="D63" s="21" t="str">
        <f>IF(AND(判定!C$7=TRUE,AND((様式１!$N$4+2018-様式１!$K$20)&gt;=26,(様式１!$N$4+2018-様式１!$K$20)&lt;36)),VLOOKUP("★",計算!$A$7:$AI$55,30,FALSE),"")</f>
        <v/>
      </c>
      <c r="E63" s="15" t="str">
        <f>IF(AND(判定!C$7=TRUE,(様式１!$N$4+2018-様式１!$K$20)&lt;26),VLOOKUP("★",計算!$A$7:$AI$55,34,FALSE),"")</f>
        <v/>
      </c>
      <c r="F63" s="119" t="s">
        <v>38</v>
      </c>
      <c r="G63" s="119" t="str">
        <f>IF(AND(判定!$C$7=TRUE,(様式１!$N$4+2018-様式１!$K$20)&gt;=36),VLOOKUP("★",$A$72:$S$79,10,FALSE),"")</f>
        <v/>
      </c>
      <c r="H63" s="119" t="str">
        <f>IF(AND(判定!$C$7=TRUE,AND((様式１!$N$4+2018-様式１!$K$20)&gt;=26,(様式１!$N$4+2018-様式１!$K$20)&lt;36)),VLOOKUP("★",$A$72:$S$79,14,FALSE),"")</f>
        <v/>
      </c>
      <c r="I63" s="119" t="str">
        <f>IF(AND(判定!$C$7=TRUE,(様式１!$N$4+2018-様式１!$K$20)&lt;26),VLOOKUP("★",$A$72:$S$79,18,FALSE),"")</f>
        <v/>
      </c>
      <c r="J63" s="119" t="s">
        <v>38</v>
      </c>
      <c r="K63" s="119" t="str">
        <f>IF(AND(判定!$C$7=TRUE,(様式１!$N$4+2018-様式１!$K$20)&gt;=36),VLOOKUP("★",$A$80:$S$87,10,FALSE),"")</f>
        <v/>
      </c>
      <c r="L63" s="119" t="str">
        <f>IF(AND(判定!$C$7=TRUE,AND((様式１!$N$4+2018-様式１!$K$20)&gt;=26,(様式１!$N$4+2018-様式１!$K$20)&lt;36)),VLOOKUP("★",$A$80:$S$87,14,FALSE),"")</f>
        <v/>
      </c>
      <c r="M63" s="119" t="str">
        <f>IF(AND(判定!$C$7=TRUE,(様式１!$N$4+2018-様式１!$K$20)&lt;26),VLOOKUP("★",$A$80:$S$87,18,FALSE),"")</f>
        <v/>
      </c>
      <c r="N63" s="119" t="s">
        <v>38</v>
      </c>
      <c r="O63" s="119" t="str">
        <f>IF(AND(判定!$C$7=TRUE,(様式１!$N$4+2018-様式１!$K$20)&gt;=36),VLOOKUP("★",$A$88:$S$95,10,FALSE),"")</f>
        <v/>
      </c>
      <c r="P63" s="119" t="str">
        <f>IF(AND(判定!$C$7=TRUE,AND((様式１!$N$4+2018-様式１!$K$20)&gt;=26,(様式１!$N$4+2018-様式１!$K$20)&lt;36)),VLOOKUP("★",$A$88:$S$95,14,FALSE),"")</f>
        <v/>
      </c>
      <c r="Q63" s="119" t="str">
        <f>IF(AND(判定!$C$7=TRUE,(様式１!$N$4+2018-様式１!$K$20)&lt;26),VLOOKUP("★",$A$88:$S$95,18,FALSE),"")</f>
        <v/>
      </c>
      <c r="R63" s="119" t="s">
        <v>38</v>
      </c>
      <c r="S63" s="119" t="str">
        <f>IF(AND(判定!$C$7=TRUE,(様式１!$N$4+2018-様式１!$K$20)&gt;=36),VLOOKUP("★",$A$96:$S$103,10,FALSE),"")</f>
        <v/>
      </c>
      <c r="T63" s="119" t="str">
        <f>IF(AND(判定!$C$7=TRUE,AND((様式１!$N$4+2018-様式１!$K$20)&gt;=26,(様式１!$N$4+2018-様式１!$K$20)&lt;36)),VLOOKUP("★",$A$96:$S$103,14,FALSE),"")</f>
        <v/>
      </c>
      <c r="U63" s="119" t="str">
        <f>IF(AND(判定!$C$7=TRUE,(様式１!$N$4+2018-様式１!$K$20)&lt;26),VLOOKUP("★",$A$96:$S$103,18,FALSE),"")</f>
        <v/>
      </c>
      <c r="V63" s="119" t="s">
        <v>38</v>
      </c>
      <c r="W63" s="119" t="str">
        <f>IF(AND(判定!$C$7=TRUE,(様式１!$N$4+2018-様式１!$K$20)&gt;=36),VLOOKUP("★",$A$104:$S$111,10,FALSE),"")</f>
        <v/>
      </c>
      <c r="X63" s="119" t="str">
        <f>IF(AND(判定!$C$7=TRUE,AND((様式１!$N$4+2018-様式１!$K$20)&gt;=26,(様式１!$N$4+2018-様式１!$K$20)&lt;36)),VLOOKUP("★",$A$104:$S$111,14,FALSE),"")</f>
        <v/>
      </c>
      <c r="Y63" s="119" t="str">
        <f>IF(AND(判定!$C$7=TRUE,(様式１!$N$4+2018-様式１!$K$20)&lt;26),VLOOKUP("★",$A$104:$S$111,18,FALSE),"")</f>
        <v/>
      </c>
      <c r="Z63" s="119" t="s">
        <v>38</v>
      </c>
      <c r="AA63" s="119" t="str">
        <f>IF(AND(判定!$C$7=TRUE,(様式１!$N$4+2018-様式１!$K$20)&gt;=36),VLOOKUP("★",$A$112:$S$119,10,FALSE),"")</f>
        <v/>
      </c>
      <c r="AB63" s="119" t="str">
        <f>IF(AND(判定!$C$7=TRUE,AND((様式１!$N$4+2018-様式１!$K$20)&gt;=26,(様式１!$N$4+2018-様式１!$K$20)&lt;36)),VLOOKUP("★",$A$112:$S$119,14,FALSE),"")</f>
        <v/>
      </c>
      <c r="AC63" s="119" t="str">
        <f>IF(AND(判定!$C$7=TRUE,(様式１!$N$4+2018-様式１!$K$20)&lt;26),VLOOKUP("★",$A$112:$S$119,18,FALSE),"")</f>
        <v/>
      </c>
      <c r="AD63" s="119" t="s">
        <v>38</v>
      </c>
      <c r="AE63" s="119" t="str">
        <f>IF(AND(判定!$C$7=TRUE,(様式１!$N$4+2018-様式１!$K$20)&gt;=36),VLOOKUP("★",$A$120:$S$127,10,FALSE),"")</f>
        <v/>
      </c>
      <c r="AF63" s="119" t="str">
        <f>IF(AND(判定!$C$7=TRUE,AND((様式１!$N$4+2018-様式１!$K$20)&gt;=26,(様式１!$N$4+2018-様式１!$K$20)&lt;36)),VLOOKUP("★",$A$120:$S$127,14,FALSE),"")</f>
        <v/>
      </c>
      <c r="AG63" s="119" t="str">
        <f>IF(AND(判定!$C$7=TRUE,(様式１!$N$4+2018-様式１!$K$20)&lt;26),VLOOKUP("★",$A$120:$S$127,18,FALSE),"")</f>
        <v/>
      </c>
      <c r="AH63" s="119" t="s">
        <v>38</v>
      </c>
      <c r="AI63" s="119" t="str">
        <f>IF(AND(判定!$C$7=TRUE,(様式１!$N$4+2018-様式１!$K$20)&gt;=36),VLOOKUP("★",$A$128:$S$135,10,FALSE),"")</f>
        <v/>
      </c>
      <c r="AJ63" s="119" t="str">
        <f>IF(AND(判定!$C$7=TRUE,AND((様式１!$N$4+2018-様式１!$K$20)&gt;=26,(様式１!$N$4+2018-様式１!$K$20)&lt;36)),VLOOKUP("★",$A$128:$S$135,14,FALSE),"")</f>
        <v/>
      </c>
      <c r="AK63" s="119" t="str">
        <f>IF(AND(判定!$C$7=TRUE,(様式１!$N$4+2018-様式１!$K$20)&lt;26),VLOOKUP("★",$A$128:$S$135,18,FALSE),"")</f>
        <v/>
      </c>
      <c r="AP63" s="125" t="e">
        <f>YEAR((EDATE(DATEVALUE(様式１!$M$4&amp;様式１!$N$4&amp;様式１!$O$4&amp;様式１!$P$4&amp;様式１!$Q$4&amp;様式１!$R$4&amp;様式１!$S$4),-3)))-様式１!$K$20</f>
        <v>#VALUE!</v>
      </c>
      <c r="AQ63" s="125"/>
    </row>
    <row r="64" spans="1:43" x14ac:dyDescent="0.2">
      <c r="B64" s="22" t="s">
        <v>39</v>
      </c>
      <c r="C64" s="15" t="str">
        <f>IF(AND(判定!C$8=TRUE,(様式１!$N$4+2018-様式１!$K$20)&gt;=36),VLOOKUP("★",計算!A7:AI55,27,FALSE),"")</f>
        <v/>
      </c>
      <c r="D64" s="21" t="str">
        <f>IF(AND(判定!C$8=TRUE,AND((様式１!$N$4+2018-様式１!$K$20)&gt;=26,(様式１!$N$4+2018-様式１!$K$20)&lt;36)),VLOOKUP("★",計算!$A$7:$AI$55,31,FALSE),"")</f>
        <v/>
      </c>
      <c r="E64" s="15" t="str">
        <f>IF(AND(判定!C$8=TRUE,(様式１!$N$4+2018-様式１!$K$20)&lt;26),VLOOKUP("★",計算!$A$7:$AI$55,35,FALSE),"")</f>
        <v/>
      </c>
      <c r="F64" s="119" t="s">
        <v>39</v>
      </c>
      <c r="G64" s="119" t="str">
        <f>IF(AND(判定!$C$8=TRUE,(様式１!$N$4+2018-様式１!$K$20)&gt;=36),VLOOKUP("★",$A$72:$S$79,11,FALSE),"")</f>
        <v/>
      </c>
      <c r="H64" s="119" t="str">
        <f>IF(AND(判定!$C$8=TRUE,AND((様式１!$N$4+2018-様式１!$K$20)&gt;=26,(様式１!$N$4+2018-様式１!$K$20)&lt;36)),VLOOKUP("★",$A$72:$S$79,15,FALSE),"")</f>
        <v/>
      </c>
      <c r="I64" s="119" t="str">
        <f>IF(AND(判定!$C$8=TRUE,(様式１!$N$4+2018-様式１!$K$20)&lt;26),VLOOKUP("★",$A$72:$S$79,19,FALSE),"")</f>
        <v/>
      </c>
      <c r="J64" s="119" t="s">
        <v>39</v>
      </c>
      <c r="K64" s="119" t="str">
        <f>IF(AND(判定!$C$8=TRUE,(様式１!$N$4+2018-様式１!$K$20)&gt;=36),VLOOKUP("★",$A$80:$S$87,11,FALSE),"")</f>
        <v/>
      </c>
      <c r="L64" s="119" t="str">
        <f>IF(AND(判定!$C$8=TRUE,AND((様式１!$N$4+2018-様式１!$K$20)&gt;=26,(様式１!$N$4+2018-様式１!$K$20)&lt;36)),VLOOKUP("★",$A$80:$S$87,15,FALSE),"")</f>
        <v/>
      </c>
      <c r="M64" s="119" t="str">
        <f>IF(AND(判定!$C$8=TRUE,(様式１!$N$4+2018-様式１!$K$20)&lt;26),VLOOKUP("★",$A$80:$S$87,19,FALSE),"")</f>
        <v/>
      </c>
      <c r="N64" s="119" t="s">
        <v>39</v>
      </c>
      <c r="O64" s="119" t="str">
        <f>IF(AND(判定!$C$8=TRUE,(様式１!$N$4+2018-様式１!$K$20)&gt;=36),VLOOKUP("★",$A$88:$S$95,11,FALSE),"")</f>
        <v/>
      </c>
      <c r="P64" s="119" t="str">
        <f>IF(AND(判定!$C$8=TRUE,AND((様式１!$N$4+2018-様式１!$K$20)&gt;=26,(様式１!$N$4+2018-様式１!$K$20)&lt;36)),VLOOKUP("★",$A$88:$S$95,15,FALSE),"")</f>
        <v/>
      </c>
      <c r="Q64" s="119" t="str">
        <f>IF(AND(判定!$C$8=TRUE,(様式１!$N$4+2018-様式１!$K$20)&lt;26),VLOOKUP("★",$A$88:$S$95,19,FALSE),"")</f>
        <v/>
      </c>
      <c r="R64" s="119" t="s">
        <v>39</v>
      </c>
      <c r="S64" s="119" t="str">
        <f>IF(AND(判定!$C$8=TRUE,(様式１!$N$4+2018-様式１!$K$20)&gt;=36),VLOOKUP("★",$A$96:$S$103,11,FALSE),"")</f>
        <v/>
      </c>
      <c r="T64" s="119" t="str">
        <f>IF(AND(判定!$C$8=TRUE,AND((様式１!$N$4+2018-様式１!$K$20)&gt;=26,(様式１!$N$4+2018-様式１!$K$20)&lt;36)),VLOOKUP("★",$A$96:$S$103,15,FALSE),"")</f>
        <v/>
      </c>
      <c r="U64" s="119" t="str">
        <f>IF(AND(判定!$C$8=TRUE,(様式１!$N$4+2018-様式１!$K$20)&lt;26),VLOOKUP("★",$A$96:$S$103,19,FALSE),"")</f>
        <v/>
      </c>
      <c r="V64" s="119" t="s">
        <v>39</v>
      </c>
      <c r="W64" s="119" t="str">
        <f>IF(AND(判定!$C$8=TRUE,(様式１!$N$4+2018-様式１!$K$20)&gt;=36),VLOOKUP("★",$A$104:$S$111,11,FALSE),"")</f>
        <v/>
      </c>
      <c r="X64" s="119" t="str">
        <f>IF(AND(判定!$C$8=TRUE,AND((様式１!$N$4+2018-様式１!$K$20)&gt;=26,(様式１!$N$4+2018-様式１!$K$20)&lt;36)),VLOOKUP("★",$A$104:$S$111,15,FALSE),"")</f>
        <v/>
      </c>
      <c r="Y64" s="119" t="str">
        <f>IF(AND(判定!$C$8=TRUE,(様式１!$N$4+2018-様式１!$K$20)&lt;26),VLOOKUP("★",$A$104:$S$111,19,FALSE),"")</f>
        <v/>
      </c>
      <c r="Z64" s="119" t="s">
        <v>39</v>
      </c>
      <c r="AA64" s="119" t="str">
        <f>IF(AND(判定!$C$8=TRUE,(様式１!$N$4+2018-様式１!$K$20)&gt;=36),VLOOKUP("★",$A$112:$S$119,11,FALSE),"")</f>
        <v/>
      </c>
      <c r="AB64" s="119" t="str">
        <f>IF(AND(判定!$C$8=TRUE,AND((様式１!$N$4+2018-様式１!$K$20)&gt;=26,(様式１!$N$4+2018-様式１!$K$20)&lt;36)),VLOOKUP("★",$A$112:$S$119,15,FALSE),"")</f>
        <v/>
      </c>
      <c r="AC64" s="119" t="str">
        <f>IF(AND(判定!$C$8=TRUE,(様式１!$N$4+2018-様式１!$K$20)&lt;26),VLOOKUP("★",$A$112:$S$119,19,FALSE),"")</f>
        <v/>
      </c>
      <c r="AD64" s="119" t="s">
        <v>39</v>
      </c>
      <c r="AE64" s="119" t="str">
        <f>IF(AND(判定!$C$8=TRUE,(様式１!$N$4+2018-様式１!$K$20)&gt;=36),VLOOKUP("★",$A$120:$S$127,11,FALSE),"")</f>
        <v/>
      </c>
      <c r="AF64" s="119" t="str">
        <f>IF(AND(判定!$C$8=TRUE,AND((様式１!$N$4+2018-様式１!$K$20)&gt;=26,(様式１!$N$4+2018-様式１!$K$20)&lt;36)),VLOOKUP("★",$A$120:$S$127,15,FALSE),"")</f>
        <v/>
      </c>
      <c r="AG64" s="119" t="str">
        <f>IF(AND(判定!$C$8=TRUE,(様式１!$N$4+2018-様式１!$K$20)&lt;26),VLOOKUP("★",$A$120:$S$127,19,FALSE),"")</f>
        <v/>
      </c>
      <c r="AH64" s="119" t="s">
        <v>39</v>
      </c>
      <c r="AI64" s="119" t="str">
        <f>IF(AND(判定!$C$8=TRUE,(様式１!$N$4+2018-様式１!$K$20)&gt;=36),VLOOKUP("★",$A$128:$S$135,11,FALSE),"")</f>
        <v/>
      </c>
      <c r="AJ64" s="119" t="str">
        <f>IF(AND(判定!$C$8=TRUE,AND((様式１!$N$4+2018-様式１!$K$20)&gt;=26,(様式１!$N$4+2018-様式１!$K$20)&lt;36)),VLOOKUP("★",$A$128:$S$135,15,FALSE),"")</f>
        <v/>
      </c>
      <c r="AK64" s="119" t="str">
        <f>IF(AND(判定!$C$8=TRUE,(様式１!$N$4+2018-様式１!$K$20)&lt;26),VLOOKUP("★",$A$128:$S$135,19,FALSE),"")</f>
        <v/>
      </c>
      <c r="AM64" s="20"/>
      <c r="AN64" s="20"/>
      <c r="AO64" s="20"/>
    </row>
    <row r="65" spans="1:44" ht="19" x14ac:dyDescent="0.2">
      <c r="B65" s="369">
        <f>SUMIF(C61:E64,"&lt;&gt;#N/A")</f>
        <v>0</v>
      </c>
      <c r="C65" s="370"/>
      <c r="D65" s="370"/>
      <c r="E65" s="371"/>
      <c r="F65" s="372">
        <f>SUMIF(G61:AK64,"&lt;&gt;#N/A")</f>
        <v>0</v>
      </c>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4"/>
      <c r="AM65" s="75"/>
      <c r="AN65" s="74"/>
      <c r="AO65" s="74"/>
    </row>
    <row r="66" spans="1:44" ht="14.5" thickBot="1" x14ac:dyDescent="0.25">
      <c r="AM66" s="20"/>
      <c r="AN66" s="20"/>
    </row>
    <row r="67" spans="1:44" ht="19.5" thickBot="1" x14ac:dyDescent="0.25">
      <c r="B67" s="375" t="s">
        <v>73</v>
      </c>
      <c r="C67" s="376"/>
      <c r="D67" s="376"/>
      <c r="E67" s="376"/>
      <c r="F67" s="376"/>
      <c r="G67" s="18">
        <f>IF(B65=0,F65,B65)</f>
        <v>0</v>
      </c>
      <c r="H67" s="16" t="s">
        <v>24</v>
      </c>
      <c r="I67" s="19">
        <f>様式１!Q20</f>
        <v>0</v>
      </c>
      <c r="J67" s="16" t="s">
        <v>24</v>
      </c>
      <c r="K67" s="138">
        <f>IF(判定!$C$11=TRUE,1.05,1)</f>
        <v>1</v>
      </c>
      <c r="L67" s="19" t="s">
        <v>50</v>
      </c>
      <c r="M67" s="17">
        <f>ROUND(G67*I67*K67,0)</f>
        <v>0</v>
      </c>
    </row>
    <row r="68" spans="1:44" x14ac:dyDescent="0.2">
      <c r="K68" s="1" t="s">
        <v>218</v>
      </c>
    </row>
    <row r="69" spans="1:44" x14ac:dyDescent="0.2">
      <c r="A69" s="3">
        <v>1</v>
      </c>
      <c r="B69" s="3">
        <v>2</v>
      </c>
      <c r="C69" s="3">
        <v>3</v>
      </c>
      <c r="D69" s="3">
        <v>4</v>
      </c>
      <c r="E69" s="3">
        <v>5</v>
      </c>
      <c r="F69" s="3">
        <v>6</v>
      </c>
      <c r="G69" s="3">
        <v>7</v>
      </c>
      <c r="H69" s="3">
        <v>8</v>
      </c>
      <c r="I69" s="3">
        <v>9</v>
      </c>
      <c r="J69" s="3">
        <v>10</v>
      </c>
      <c r="K69" s="3">
        <v>11</v>
      </c>
      <c r="L69" s="3">
        <v>12</v>
      </c>
      <c r="M69" s="3">
        <v>13</v>
      </c>
      <c r="N69" s="3">
        <v>14</v>
      </c>
      <c r="O69" s="3">
        <v>15</v>
      </c>
      <c r="P69" s="3">
        <v>16</v>
      </c>
      <c r="Q69" s="3">
        <v>17</v>
      </c>
      <c r="R69" s="3">
        <v>18</v>
      </c>
      <c r="S69" s="3">
        <v>19</v>
      </c>
      <c r="AK69" s="3"/>
      <c r="AL69" s="3"/>
    </row>
    <row r="70" spans="1:44" x14ac:dyDescent="0.2">
      <c r="D70" s="131" t="s">
        <v>66</v>
      </c>
      <c r="E70" s="132"/>
      <c r="F70" s="132"/>
      <c r="G70" s="133"/>
      <c r="H70" s="377" t="s">
        <v>34</v>
      </c>
      <c r="I70" s="378"/>
      <c r="J70" s="378"/>
      <c r="K70" s="379"/>
      <c r="L70" s="377" t="s">
        <v>35</v>
      </c>
      <c r="M70" s="378"/>
      <c r="N70" s="378"/>
      <c r="O70" s="379"/>
      <c r="P70" s="377" t="s">
        <v>36</v>
      </c>
      <c r="Q70" s="378"/>
      <c r="R70" s="378"/>
      <c r="S70" s="379"/>
      <c r="T70" s="73"/>
      <c r="U70" s="1"/>
      <c r="V70" s="1"/>
      <c r="W70" s="1"/>
      <c r="X70" s="1"/>
      <c r="Y70" s="1"/>
      <c r="Z70" s="1"/>
      <c r="AA70" s="1"/>
      <c r="AB70" s="1"/>
      <c r="AC70" s="1"/>
      <c r="AD70" s="1"/>
      <c r="AE70" s="1"/>
      <c r="AF70" s="1"/>
      <c r="AG70" s="1"/>
      <c r="AH70" s="1"/>
      <c r="AI70" s="1"/>
      <c r="AJ70" s="1"/>
    </row>
    <row r="71" spans="1:44" x14ac:dyDescent="0.2">
      <c r="C71" s="380" t="s">
        <v>67</v>
      </c>
      <c r="D71" s="30" t="s">
        <v>22</v>
      </c>
      <c r="E71" s="31" t="s">
        <v>26</v>
      </c>
      <c r="F71" s="31" t="s">
        <v>51</v>
      </c>
      <c r="G71" s="32" t="s">
        <v>27</v>
      </c>
      <c r="H71" s="76">
        <v>2</v>
      </c>
      <c r="I71" s="63">
        <v>3</v>
      </c>
      <c r="J71" s="63">
        <v>4</v>
      </c>
      <c r="K71" s="64">
        <v>5</v>
      </c>
      <c r="L71" s="85">
        <v>2</v>
      </c>
      <c r="M71" s="71">
        <v>3</v>
      </c>
      <c r="N71" s="63">
        <v>4</v>
      </c>
      <c r="O71" s="64">
        <v>5</v>
      </c>
      <c r="P71" s="85">
        <v>2</v>
      </c>
      <c r="Q71" s="71">
        <v>3</v>
      </c>
      <c r="R71" s="63">
        <v>4</v>
      </c>
      <c r="S71" s="64">
        <v>5</v>
      </c>
      <c r="T71" s="1"/>
      <c r="U71" s="1"/>
      <c r="V71" s="1"/>
      <c r="W71" s="1"/>
      <c r="X71" s="1"/>
      <c r="Y71" s="20"/>
      <c r="Z71" s="65"/>
      <c r="AA71" s="65"/>
      <c r="AB71" s="65"/>
      <c r="AC71" s="65"/>
      <c r="AD71" s="20"/>
      <c r="AE71" s="30" t="s">
        <v>22</v>
      </c>
      <c r="AF71" s="31" t="s">
        <v>26</v>
      </c>
      <c r="AG71" s="31" t="s">
        <v>51</v>
      </c>
      <c r="AH71" s="32" t="s">
        <v>27</v>
      </c>
      <c r="AI71" s="1"/>
      <c r="AJ71" s="1"/>
    </row>
    <row r="72" spans="1:44" x14ac:dyDescent="0.2">
      <c r="A72" s="126" t="str">
        <f>IF($AJ$72=$T72,"★","")</f>
        <v/>
      </c>
      <c r="B72" s="65" t="s">
        <v>56</v>
      </c>
      <c r="C72" s="381"/>
      <c r="D72" s="30" t="s">
        <v>210</v>
      </c>
      <c r="E72" s="31"/>
      <c r="F72" s="31"/>
      <c r="G72" s="32"/>
      <c r="H72" s="30">
        <v>14.8</v>
      </c>
      <c r="I72" s="72">
        <v>14.8</v>
      </c>
      <c r="J72" s="67">
        <v>12</v>
      </c>
      <c r="K72" s="68">
        <v>9.4</v>
      </c>
      <c r="L72" s="66">
        <v>10.3</v>
      </c>
      <c r="M72" s="72">
        <v>10.3</v>
      </c>
      <c r="N72" s="67">
        <v>7.8</v>
      </c>
      <c r="O72" s="68">
        <v>8.6999999999999993</v>
      </c>
      <c r="P72" s="66">
        <v>9</v>
      </c>
      <c r="Q72" s="72">
        <v>9</v>
      </c>
      <c r="R72" s="67">
        <v>6.7</v>
      </c>
      <c r="S72" s="68">
        <v>7.7</v>
      </c>
      <c r="T72" s="1">
        <v>1</v>
      </c>
      <c r="U72" s="126"/>
      <c r="V72" s="1"/>
      <c r="W72" s="1"/>
      <c r="X72" s="1"/>
      <c r="Y72" s="20"/>
      <c r="Z72" s="65"/>
      <c r="AA72" s="65"/>
      <c r="AB72" s="65"/>
      <c r="AC72" s="65"/>
      <c r="AD72" s="20" t="str">
        <f>$C$71</f>
        <v>居間</v>
      </c>
      <c r="AE72" s="30" t="str">
        <f>IF(OR(COUNTIFS('様式１ー２　費用等明細'!$C:$C,判定!$K$2,'様式１ー２　費用等明細'!$D:$D,判定!$L$2)&gt;0,COUNTIFS('様式１ー２　費用等明細'!$C:$C,判定!$K$2,'様式１ー２　費用等明細'!$D:$D,判定!$L$3)&gt;0,COUNTIFS('様式１ー２　費用等明細'!$C:$C,判定!$K$2,'様式１ー２　費用等明細'!$D:$D,判定!$L$4)&gt;0),"●","○")</f>
        <v>○</v>
      </c>
      <c r="AF72" s="31" t="str">
        <f>IF(COUNTIFS('様式１ー２　費用等明細'!$C:$C,判定!$K$2,'様式１ー２　費用等明細'!$D:$D,判定!$L$8)&gt;0,"●","○")</f>
        <v>○</v>
      </c>
      <c r="AG72" s="31" t="str">
        <f>IF(COUNTIFS('様式１ー２　費用等明細'!$C:$C,判定!$K$2,'様式１ー２　費用等明細'!$D:$D,判定!$L$7)&gt;0,"●","○")</f>
        <v>○</v>
      </c>
      <c r="AH72" s="32" t="str">
        <f>IF(COUNTIFS('様式１ー２　費用等明細'!$C:$C,判定!$K$2,'様式１ー２　費用等明細'!$D:$D,判定!$L$9)&gt;0,"●","○")</f>
        <v>○</v>
      </c>
      <c r="AI72" s="1"/>
      <c r="AJ72" s="1">
        <f>IF($AE72="●",1,0)+IF($AF72="●",10,0)+IF($AG72="●",100,0)+IF($AH72="●",1000,0)</f>
        <v>0</v>
      </c>
    </row>
    <row r="73" spans="1:44" x14ac:dyDescent="0.2">
      <c r="A73" s="126" t="str">
        <f t="shared" ref="A73:A79" si="16">IF($AJ$72=$T73,"★","")</f>
        <v/>
      </c>
      <c r="B73" s="65"/>
      <c r="C73" s="381"/>
      <c r="D73" s="30" t="s">
        <v>210</v>
      </c>
      <c r="E73" s="31" t="s">
        <v>210</v>
      </c>
      <c r="F73" s="31"/>
      <c r="G73" s="32"/>
      <c r="H73" s="30">
        <v>20.6</v>
      </c>
      <c r="I73" s="72">
        <v>20.6</v>
      </c>
      <c r="J73" s="67">
        <v>16.399999999999999</v>
      </c>
      <c r="K73" s="68">
        <v>14.1</v>
      </c>
      <c r="L73" s="66">
        <v>12.5</v>
      </c>
      <c r="M73" s="72">
        <v>12.5</v>
      </c>
      <c r="N73" s="67">
        <v>9</v>
      </c>
      <c r="O73" s="68">
        <v>7.2</v>
      </c>
      <c r="P73" s="66">
        <v>9.3000000000000007</v>
      </c>
      <c r="Q73" s="72">
        <v>9.3000000000000007</v>
      </c>
      <c r="R73" s="67">
        <v>6.4</v>
      </c>
      <c r="S73" s="68">
        <v>4.8</v>
      </c>
      <c r="T73" s="1">
        <v>11</v>
      </c>
      <c r="U73" s="1"/>
      <c r="V73" s="1"/>
      <c r="W73" s="1"/>
      <c r="X73" s="1"/>
      <c r="Y73" s="20"/>
      <c r="Z73" s="65"/>
      <c r="AA73" s="65"/>
      <c r="AB73" s="65"/>
      <c r="AC73" s="65"/>
      <c r="AD73" s="20" t="str">
        <f>$C$80</f>
        <v>台所</v>
      </c>
      <c r="AE73" s="30" t="str">
        <f>IF(OR(COUNTIFS('様式１ー２　費用等明細'!$C:$C,判定!$K$3,'様式１ー２　費用等明細'!$D:$D,判定!$L$2)&gt;0,COUNTIFS('様式１ー２　費用等明細'!$C:$C,判定!$K$3,'様式１ー２　費用等明細'!$D:$D,判定!$L$3)&gt;0,COUNTIFS('様式１ー２　費用等明細'!$C:$C,判定!$K$3,'様式１ー２　費用等明細'!$D:$D,判定!$L$4)&gt;0),"●","○")</f>
        <v>○</v>
      </c>
      <c r="AF73" s="31" t="str">
        <f>IF(COUNTIFS('様式１ー２　費用等明細'!$C:$C,判定!$K$3,'様式１ー２　費用等明細'!$D:$D,判定!$L$8)&gt;0,"●","○")</f>
        <v>○</v>
      </c>
      <c r="AG73" s="31" t="str">
        <f>IF(COUNTIFS('様式１ー２　費用等明細'!$C:$C,判定!$K$3,'様式１ー２　費用等明細'!$D:$D,判定!$L$7)&gt;0,"●","○")</f>
        <v>○</v>
      </c>
      <c r="AH73" s="32" t="str">
        <f>IF(COUNTIFS('様式１ー２　費用等明細'!$C:$C,判定!$K$3,'様式１ー２　費用等明細'!$D:$D,判定!$L$9)&gt;0,"●","○")</f>
        <v>○</v>
      </c>
      <c r="AJ73" s="1">
        <f>IF($AE73="●",1,0)+IF($AF73="●",10,0)+IF($AG73="●",100,0)+IF($AH73="●",1000,0)</f>
        <v>0</v>
      </c>
    </row>
    <row r="74" spans="1:44" x14ac:dyDescent="0.2">
      <c r="A74" s="126" t="str">
        <f t="shared" si="16"/>
        <v/>
      </c>
      <c r="B74" s="65"/>
      <c r="C74" s="381"/>
      <c r="D74" s="30" t="s">
        <v>210</v>
      </c>
      <c r="E74" s="31"/>
      <c r="F74" s="31" t="s">
        <v>210</v>
      </c>
      <c r="G74" s="32"/>
      <c r="H74" s="30">
        <v>15.3</v>
      </c>
      <c r="I74" s="72">
        <v>15.3</v>
      </c>
      <c r="J74" s="67">
        <v>12.2</v>
      </c>
      <c r="K74" s="68">
        <v>10.5</v>
      </c>
      <c r="L74" s="66">
        <v>8.1999999999999993</v>
      </c>
      <c r="M74" s="72">
        <v>8.1999999999999993</v>
      </c>
      <c r="N74" s="67">
        <v>5.6</v>
      </c>
      <c r="O74" s="68">
        <v>4.2</v>
      </c>
      <c r="P74" s="66">
        <v>5.6</v>
      </c>
      <c r="Q74" s="72">
        <v>5.6</v>
      </c>
      <c r="R74" s="67">
        <v>3.4</v>
      </c>
      <c r="S74" s="68">
        <v>2.2000000000000002</v>
      </c>
      <c r="T74" s="1">
        <v>101</v>
      </c>
      <c r="U74" s="1"/>
      <c r="V74" s="1"/>
      <c r="W74" s="1"/>
      <c r="X74" s="1"/>
      <c r="Y74" s="20"/>
      <c r="Z74" s="65"/>
      <c r="AA74" s="65"/>
      <c r="AB74" s="65"/>
      <c r="AC74" s="65"/>
      <c r="AD74" s="20" t="str">
        <f>$C$88</f>
        <v>食堂</v>
      </c>
      <c r="AE74" s="30" t="str">
        <f>IF(OR(COUNTIFS('様式１ー２　費用等明細'!$C:$C,判定!$K$4,'様式１ー２　費用等明細'!$D:$D,判定!$L$2)&gt;0,COUNTIFS('様式１ー２　費用等明細'!$C:$C,判定!$K$4,'様式１ー２　費用等明細'!$D:$D,判定!$L$3)&gt;0,COUNTIFS('様式１ー２　費用等明細'!$C:$C,判定!$K$4,'様式１ー２　費用等明細'!$D:$D,判定!$L$4)&gt;0),"●","○")</f>
        <v>○</v>
      </c>
      <c r="AF74" s="31" t="str">
        <f>IF(COUNTIFS('様式１ー２　費用等明細'!$C:$C,判定!$K$4,'様式１ー２　費用等明細'!$D:$D,判定!$L$8)&gt;0,"●","○")</f>
        <v>○</v>
      </c>
      <c r="AG74" s="31" t="str">
        <f>IF(COUNTIFS('様式１ー２　費用等明細'!$C:$C,判定!$K$4,'様式１ー２　費用等明細'!$D:$D,判定!$L$7)&gt;0,"●","○")</f>
        <v>○</v>
      </c>
      <c r="AH74" s="32" t="str">
        <f>IF(COUNTIFS('様式１ー２　費用等明細'!$C:$C,判定!$K$4,'様式１ー２　費用等明細'!$D:$D,判定!$L$9)&gt;0,"●","○")</f>
        <v>○</v>
      </c>
      <c r="AI74" s="1"/>
      <c r="AJ74" s="1">
        <f>IF($AE74="●",1,0)+IF($AF74="●",10,0)+IF($AG74="●",100,0)+IF($AH74="●",1000,0)</f>
        <v>0</v>
      </c>
    </row>
    <row r="75" spans="1:44" x14ac:dyDescent="0.2">
      <c r="A75" s="126" t="str">
        <f t="shared" si="16"/>
        <v/>
      </c>
      <c r="B75" s="65"/>
      <c r="C75" s="381"/>
      <c r="D75" s="30" t="s">
        <v>210</v>
      </c>
      <c r="E75" s="31"/>
      <c r="F75" s="31"/>
      <c r="G75" s="32" t="s">
        <v>29</v>
      </c>
      <c r="H75" s="30">
        <v>15.4</v>
      </c>
      <c r="I75" s="72">
        <v>15.4</v>
      </c>
      <c r="J75" s="67">
        <v>12.3</v>
      </c>
      <c r="K75" s="68">
        <v>10.6</v>
      </c>
      <c r="L75" s="66">
        <v>8.3000000000000007</v>
      </c>
      <c r="M75" s="72">
        <v>8.3000000000000007</v>
      </c>
      <c r="N75" s="67">
        <v>5.7</v>
      </c>
      <c r="O75" s="68">
        <v>4.3</v>
      </c>
      <c r="P75" s="66">
        <v>5.7</v>
      </c>
      <c r="Q75" s="72">
        <v>5.7</v>
      </c>
      <c r="R75" s="67">
        <v>3.5</v>
      </c>
      <c r="S75" s="68">
        <v>2.2999999999999998</v>
      </c>
      <c r="T75" s="1">
        <v>1001</v>
      </c>
      <c r="U75" s="1"/>
      <c r="V75" s="1"/>
      <c r="W75" s="1"/>
      <c r="X75" s="1"/>
      <c r="Y75" s="20"/>
      <c r="Z75" s="65"/>
      <c r="AA75" s="65"/>
      <c r="AB75" s="65"/>
      <c r="AC75" s="65"/>
      <c r="AD75" s="20" t="str">
        <f>$C$96</f>
        <v>脱衣所</v>
      </c>
      <c r="AE75" s="30" t="str">
        <f>IF(OR(COUNTIFS('様式１ー２　費用等明細'!$C:$C,判定!$K$5,'様式１ー２　費用等明細'!$D:$D,判定!$L$2)&gt;0,COUNTIFS('様式１ー２　費用等明細'!$C:$C,判定!$K$5,'様式１ー２　費用等明細'!$D:$D,判定!$L$3)&gt;0,COUNTIFS('様式１ー２　費用等明細'!$C:$C,判定!$K$5,'様式１ー２　費用等明細'!$D:$D,判定!$L$4)&gt;0),"●","○")</f>
        <v>○</v>
      </c>
      <c r="AF75" s="31" t="str">
        <f>IF(COUNTIFS('様式１ー２　費用等明細'!$C:$C,判定!$K$5,'様式１ー２　費用等明細'!$D:$D,判定!$L$8)&gt;0,"●","○")</f>
        <v>○</v>
      </c>
      <c r="AG75" s="31" t="str">
        <f>IF(COUNTIFS('様式１ー２　費用等明細'!$C:$C,判定!$K$5,'様式１ー２　費用等明細'!$D:$D,判定!$L$7)&gt;0,"●","○")</f>
        <v>○</v>
      </c>
      <c r="AH75" s="32" t="str">
        <f>IF(COUNTIFS('様式１ー２　費用等明細'!$C:$C,判定!$K$5,'様式１ー２　費用等明細'!$D:$D,判定!$L$9)&gt;0,"●","○")</f>
        <v>○</v>
      </c>
      <c r="AI75" s="1"/>
      <c r="AJ75" s="1">
        <f t="shared" ref="AJ75:AJ79" si="17">IF($AE75="●",1,0)+IF($AF75="●",10,0)+IF($AG75="●",100,0)+IF($AH75="●",1000,0)</f>
        <v>0</v>
      </c>
    </row>
    <row r="76" spans="1:44" x14ac:dyDescent="0.2">
      <c r="A76" s="126" t="str">
        <f t="shared" si="16"/>
        <v/>
      </c>
      <c r="B76" s="65"/>
      <c r="C76" s="381"/>
      <c r="D76" s="30" t="s">
        <v>210</v>
      </c>
      <c r="E76" s="31" t="s">
        <v>210</v>
      </c>
      <c r="F76" s="31" t="s">
        <v>210</v>
      </c>
      <c r="G76" s="32"/>
      <c r="H76" s="30">
        <v>22.7</v>
      </c>
      <c r="I76" s="72">
        <v>22.7</v>
      </c>
      <c r="J76" s="67">
        <v>18.100000000000001</v>
      </c>
      <c r="K76" s="68">
        <v>15.5</v>
      </c>
      <c r="L76" s="66">
        <v>14.3</v>
      </c>
      <c r="M76" s="72">
        <v>14.3</v>
      </c>
      <c r="N76" s="67">
        <v>10.4</v>
      </c>
      <c r="O76" s="68">
        <v>8.4</v>
      </c>
      <c r="P76" s="66">
        <v>10.8</v>
      </c>
      <c r="Q76" s="72">
        <v>10.8</v>
      </c>
      <c r="R76" s="67">
        <v>7.5</v>
      </c>
      <c r="S76" s="68">
        <v>5.8</v>
      </c>
      <c r="T76" s="1">
        <v>111</v>
      </c>
      <c r="U76" s="1"/>
      <c r="V76" s="1"/>
      <c r="W76" s="1"/>
      <c r="X76" s="1"/>
      <c r="Y76" s="20"/>
      <c r="Z76" s="65"/>
      <c r="AA76" s="65"/>
      <c r="AB76" s="65"/>
      <c r="AC76" s="65"/>
      <c r="AD76" s="20" t="e">
        <f>$C$104</f>
        <v>#NUM!</v>
      </c>
      <c r="AE76" s="30" t="str">
        <f>IF(OR(COUNTIFS('様式１ー２　費用等明細'!$C:$C,'様式１ー２　費用等明細'!$AA$15,'様式１ー２　費用等明細'!$D:$D,判定!$L$2)&gt;0,COUNTIFS('様式１ー２　費用等明細'!$C:$C,'様式１ー２　費用等明細'!$AA$15,'様式１ー２　費用等明細'!$D:$D,判定!$L$3)&gt;0,COUNTIFS('様式１ー２　費用等明細'!$C:$C,'様式１ー２　費用等明細'!$AA$15,'様式１ー２　費用等明細'!$D:$D,判定!$L$4)&gt;0),"●","○")</f>
        <v>○</v>
      </c>
      <c r="AF76" s="31" t="str">
        <f>IF(COUNTIFS('様式１ー２　費用等明細'!$C:$C,'様式１ー２　費用等明細'!$AA$15,'様式１ー２　費用等明細'!$D:$D,判定!$L$8)&gt;0,"●","○")</f>
        <v>○</v>
      </c>
      <c r="AG76" s="31" t="str">
        <f>IF(COUNTIFS('様式１ー２　費用等明細'!$C:$C,'様式１ー２　費用等明細'!$AA$15,'様式１ー２　費用等明細'!$D:$D,判定!$L$7)&gt;0,"●","○")</f>
        <v>○</v>
      </c>
      <c r="AH76" s="32" t="str">
        <f>IF(COUNTIFS('様式１ー２　費用等明細'!$C:$C,'様式１ー２　費用等明細'!$AA$15,'様式１ー２　費用等明細'!$D:$D,判定!$L$9)&gt;0,"●","○")</f>
        <v>○</v>
      </c>
      <c r="AI76" s="1"/>
      <c r="AJ76" s="1">
        <f t="shared" si="17"/>
        <v>0</v>
      </c>
    </row>
    <row r="77" spans="1:44" x14ac:dyDescent="0.2">
      <c r="A77" s="126" t="str">
        <f t="shared" si="16"/>
        <v/>
      </c>
      <c r="B77" s="65"/>
      <c r="C77" s="381"/>
      <c r="D77" s="30" t="s">
        <v>210</v>
      </c>
      <c r="E77" s="31" t="s">
        <v>210</v>
      </c>
      <c r="F77" s="31"/>
      <c r="G77" s="32" t="s">
        <v>29</v>
      </c>
      <c r="H77" s="30">
        <v>22.9</v>
      </c>
      <c r="I77" s="72">
        <v>22.9</v>
      </c>
      <c r="J77" s="67">
        <v>18.2</v>
      </c>
      <c r="K77" s="68">
        <v>15.7</v>
      </c>
      <c r="L77" s="66">
        <v>14.5</v>
      </c>
      <c r="M77" s="72">
        <v>14.5</v>
      </c>
      <c r="N77" s="67">
        <v>10.6</v>
      </c>
      <c r="O77" s="68">
        <v>8.5</v>
      </c>
      <c r="P77" s="66">
        <v>10.9</v>
      </c>
      <c r="Q77" s="72">
        <v>10.9</v>
      </c>
      <c r="R77" s="67">
        <v>7.7</v>
      </c>
      <c r="S77" s="68">
        <v>5.9</v>
      </c>
      <c r="T77" s="1">
        <v>1011</v>
      </c>
      <c r="U77" s="1"/>
      <c r="V77" s="1"/>
      <c r="W77" s="1"/>
      <c r="X77" s="1"/>
      <c r="Y77" s="20"/>
      <c r="Z77" s="65"/>
      <c r="AA77" s="65"/>
      <c r="AB77" s="65"/>
      <c r="AC77" s="65"/>
      <c r="AD77" s="20" t="e">
        <f>$C$112</f>
        <v>#NUM!</v>
      </c>
      <c r="AE77" s="30" t="str">
        <f>IF(OR(COUNTIFS('様式１ー２　費用等明細'!$C:$C,'様式１ー２　費用等明細'!$AA$16,'様式１ー２　費用等明細'!$D:$D,判定!$L$2)&gt;0,COUNTIFS('様式１ー２　費用等明細'!$C:$C,'様式１ー２　費用等明細'!$AA$16,'様式１ー２　費用等明細'!$D:$D,判定!$L$3)&gt;0,COUNTIFS('様式１ー２　費用等明細'!$C:$C,'様式１ー２　費用等明細'!$AA$16,'様式１ー２　費用等明細'!$D:$D,判定!$L$4)&gt;0),"●","○")</f>
        <v>○</v>
      </c>
      <c r="AF77" s="31" t="str">
        <f>IF(COUNTIFS('様式１ー２　費用等明細'!$C:$C,'様式１ー２　費用等明細'!$AA$16,'様式１ー２　費用等明細'!$D:$D,判定!$L$8)&gt;0,"●","○")</f>
        <v>○</v>
      </c>
      <c r="AG77" s="31" t="str">
        <f>IF(COUNTIFS('様式１ー２　費用等明細'!$C:$C,'様式１ー２　費用等明細'!$AA$16,'様式１ー２　費用等明細'!$D:$D,判定!$L$7)&gt;0,"●","○")</f>
        <v>○</v>
      </c>
      <c r="AH77" s="32" t="str">
        <f>IF(COUNTIFS('様式１ー２　費用等明細'!$C:$C,'様式１ー２　費用等明細'!$AA$16,'様式１ー２　費用等明細'!$D:$D,判定!$L$9)&gt;0,"●","○")</f>
        <v>○</v>
      </c>
      <c r="AI77" s="1"/>
      <c r="AJ77" s="1">
        <f t="shared" si="17"/>
        <v>0</v>
      </c>
    </row>
    <row r="78" spans="1:44" x14ac:dyDescent="0.2">
      <c r="A78" s="126" t="str">
        <f t="shared" si="16"/>
        <v/>
      </c>
      <c r="B78" s="65"/>
      <c r="C78" s="381"/>
      <c r="D78" s="30" t="s">
        <v>210</v>
      </c>
      <c r="E78" s="31"/>
      <c r="F78" s="31" t="s">
        <v>210</v>
      </c>
      <c r="G78" s="32" t="s">
        <v>29</v>
      </c>
      <c r="H78" s="30">
        <v>17.5</v>
      </c>
      <c r="I78" s="72">
        <v>17.5</v>
      </c>
      <c r="J78" s="67">
        <v>13.9</v>
      </c>
      <c r="K78" s="68">
        <v>12</v>
      </c>
      <c r="L78" s="66">
        <v>10</v>
      </c>
      <c r="M78" s="72">
        <v>10</v>
      </c>
      <c r="N78" s="67">
        <v>7</v>
      </c>
      <c r="O78" s="68">
        <v>5.4</v>
      </c>
      <c r="P78" s="66">
        <v>7.2</v>
      </c>
      <c r="Q78" s="72">
        <v>7.2</v>
      </c>
      <c r="R78" s="67">
        <v>4.5999999999999996</v>
      </c>
      <c r="S78" s="68">
        <v>3.3</v>
      </c>
      <c r="T78" s="1">
        <v>1101</v>
      </c>
      <c r="U78" s="1"/>
      <c r="V78" s="1"/>
      <c r="W78" s="1"/>
      <c r="X78" s="1"/>
      <c r="Y78" s="20"/>
      <c r="Z78" s="65"/>
      <c r="AA78" s="65"/>
      <c r="AB78" s="65"/>
      <c r="AC78" s="65"/>
      <c r="AD78" s="20" t="e">
        <f>$C$120</f>
        <v>#NUM!</v>
      </c>
      <c r="AE78" s="30" t="str">
        <f>IF(OR(COUNTIFS('様式１ー２　費用等明細'!$C:$C,'様式１ー２　費用等明細'!$AA$17,'様式１ー２　費用等明細'!$D:$D,判定!$L$2)&gt;0,COUNTIFS('様式１ー２　費用等明細'!$C:$C,'様式１ー２　費用等明細'!$AA$17,'様式１ー２　費用等明細'!$D:$D,判定!$L$3)&gt;0,COUNTIFS('様式１ー２　費用等明細'!$C:$C,'様式１ー２　費用等明細'!$AA$17,'様式１ー２　費用等明細'!$D:$D,判定!$L$4)&gt;0),"●","○")</f>
        <v>○</v>
      </c>
      <c r="AF78" s="31" t="str">
        <f>IF(COUNTIFS('様式１ー２　費用等明細'!$C:$C,'様式１ー２　費用等明細'!$AA$17,'様式１ー２　費用等明細'!$D:$D,判定!$L$8)&gt;0,"●","○")</f>
        <v>○</v>
      </c>
      <c r="AG78" s="31" t="str">
        <f>IF(COUNTIFS('様式１ー２　費用等明細'!$C:$C,'様式１ー２　費用等明細'!$AA$17,'様式１ー２　費用等明細'!$D:$D,判定!$L$7)&gt;0,"●","○")</f>
        <v>○</v>
      </c>
      <c r="AH78" s="32" t="str">
        <f>IF(COUNTIFS('様式１ー２　費用等明細'!$C:$C,'様式１ー２　費用等明細'!$AA$17,'様式１ー２　費用等明細'!$D:$D,判定!$L$9)&gt;0,"●","○")</f>
        <v>○</v>
      </c>
      <c r="AI78" s="1"/>
      <c r="AJ78" s="1">
        <f t="shared" si="17"/>
        <v>0</v>
      </c>
    </row>
    <row r="79" spans="1:44" x14ac:dyDescent="0.2">
      <c r="A79" s="126" t="str">
        <f t="shared" si="16"/>
        <v/>
      </c>
      <c r="C79" s="381"/>
      <c r="D79" s="139" t="s">
        <v>210</v>
      </c>
      <c r="E79" s="140" t="s">
        <v>210</v>
      </c>
      <c r="F79" s="140" t="s">
        <v>210</v>
      </c>
      <c r="G79" s="141" t="s">
        <v>29</v>
      </c>
      <c r="H79" s="139">
        <v>25.1</v>
      </c>
      <c r="I79" s="77">
        <v>25.1</v>
      </c>
      <c r="J79" s="69">
        <v>20</v>
      </c>
      <c r="K79" s="70">
        <v>17.2</v>
      </c>
      <c r="L79" s="88">
        <v>16.3</v>
      </c>
      <c r="M79" s="77">
        <v>16.3</v>
      </c>
      <c r="N79" s="69">
        <v>12</v>
      </c>
      <c r="O79" s="70">
        <v>9.6999999999999993</v>
      </c>
      <c r="P79" s="88">
        <v>12.5</v>
      </c>
      <c r="Q79" s="77">
        <v>12.5</v>
      </c>
      <c r="R79" s="69">
        <v>8.9</v>
      </c>
      <c r="S79" s="70">
        <v>6.9</v>
      </c>
      <c r="T79" s="20">
        <v>1111</v>
      </c>
      <c r="U79" s="20"/>
      <c r="V79" s="20"/>
      <c r="W79" s="20"/>
      <c r="X79" s="20"/>
      <c r="Y79" s="20"/>
      <c r="Z79" s="65"/>
      <c r="AA79" s="65"/>
      <c r="AB79" s="65"/>
      <c r="AC79" s="65"/>
      <c r="AD79" s="20" t="e">
        <f>$C$128</f>
        <v>#NUM!</v>
      </c>
      <c r="AE79" s="30" t="str">
        <f>IF(OR(COUNTIFS('様式１ー２　費用等明細'!$C:$C,'様式１ー２　費用等明細'!$AA$18,'様式１ー２　費用等明細'!$D:$D,判定!$L$2)&gt;0,COUNTIFS('様式１ー２　費用等明細'!$C:$C,'様式１ー２　費用等明細'!$AA$18,'様式１ー２　費用等明細'!$D:$D,判定!$L$3)&gt;0,COUNTIFS('様式１ー２　費用等明細'!$C:$C,'様式１ー２　費用等明細'!$AA$18,'様式１ー２　費用等明細'!$D:$D,判定!$L$4)&gt;0),"●","○")</f>
        <v>○</v>
      </c>
      <c r="AF79" s="31" t="str">
        <f>IF(COUNTIFS('様式１ー２　費用等明細'!$C:$C,'様式１ー２　費用等明細'!$AA$18,'様式１ー２　費用等明細'!$D:$D,判定!$L$8)&gt;0,"●","○")</f>
        <v>○</v>
      </c>
      <c r="AG79" s="31" t="str">
        <f>IF(COUNTIFS('様式１ー２　費用等明細'!$C:$C,'様式１ー２　費用等明細'!$AA$18,'様式１ー２　費用等明細'!$D:$D,判定!$L$7)&gt;0,"●","○")</f>
        <v>○</v>
      </c>
      <c r="AH79" s="32" t="str">
        <f>IF(COUNTIFS('様式１ー２　費用等明細'!$C:$C,'様式１ー２　費用等明細'!$AA$18,'様式１ー２　費用等明細'!$D:$D,判定!$L$9)&gt;0,"●","○")</f>
        <v>○</v>
      </c>
      <c r="AI79" s="20"/>
      <c r="AJ79" s="20">
        <f t="shared" si="17"/>
        <v>0</v>
      </c>
      <c r="AK79" s="20"/>
      <c r="AM79" s="20"/>
      <c r="AN79" s="20"/>
      <c r="AO79" s="20"/>
      <c r="AP79" s="142"/>
      <c r="AQ79" s="142"/>
    </row>
    <row r="80" spans="1:44" x14ac:dyDescent="0.2">
      <c r="A80" s="126" t="str">
        <f>IF($AJ$73=$T80,"★","")</f>
        <v/>
      </c>
      <c r="B80" s="65" t="s">
        <v>57</v>
      </c>
      <c r="C80" s="380" t="s">
        <v>68</v>
      </c>
      <c r="D80" s="30" t="s">
        <v>29</v>
      </c>
      <c r="E80" s="31"/>
      <c r="F80" s="31"/>
      <c r="G80" s="32"/>
      <c r="H80" s="30">
        <v>14.8</v>
      </c>
      <c r="I80" s="72">
        <v>14.8</v>
      </c>
      <c r="J80" s="67">
        <v>12</v>
      </c>
      <c r="K80" s="68">
        <v>9.4</v>
      </c>
      <c r="L80" s="66">
        <v>10.3</v>
      </c>
      <c r="M80" s="72">
        <v>10.3</v>
      </c>
      <c r="N80" s="67">
        <v>7.8</v>
      </c>
      <c r="O80" s="68">
        <v>8.6999999999999993</v>
      </c>
      <c r="P80" s="66">
        <v>9</v>
      </c>
      <c r="Q80" s="72">
        <v>9</v>
      </c>
      <c r="R80" s="67">
        <v>6.7</v>
      </c>
      <c r="S80" s="68">
        <v>7.7</v>
      </c>
      <c r="T80" s="20">
        <v>1</v>
      </c>
      <c r="U80" s="128"/>
      <c r="V80" s="137"/>
      <c r="W80" s="137"/>
      <c r="X80" s="137"/>
      <c r="Y80" s="137"/>
      <c r="Z80" s="65"/>
      <c r="AA80" s="65"/>
      <c r="AB80" s="65"/>
      <c r="AC80" s="65"/>
      <c r="AD80" s="20"/>
      <c r="AE80" s="137"/>
      <c r="AF80" s="137"/>
      <c r="AG80" s="137"/>
      <c r="AH80" s="137"/>
      <c r="AI80" s="137"/>
      <c r="AJ80" s="137"/>
      <c r="AK80" s="20"/>
      <c r="AM80" s="20"/>
      <c r="AN80" s="20"/>
      <c r="AO80" s="20"/>
      <c r="AP80" s="142"/>
      <c r="AQ80" s="142"/>
      <c r="AR80" s="1"/>
    </row>
    <row r="81" spans="1:43" x14ac:dyDescent="0.2">
      <c r="A81" s="126" t="str">
        <f t="shared" ref="A81:A87" si="18">IF($AJ$73=$T81,"★","")</f>
        <v/>
      </c>
      <c r="B81" s="65"/>
      <c r="C81" s="381"/>
      <c r="D81" s="30" t="s">
        <v>29</v>
      </c>
      <c r="E81" s="31" t="s">
        <v>29</v>
      </c>
      <c r="F81" s="31"/>
      <c r="G81" s="32"/>
      <c r="H81" s="30">
        <v>20.6</v>
      </c>
      <c r="I81" s="72">
        <v>20.6</v>
      </c>
      <c r="J81" s="67">
        <v>16.399999999999999</v>
      </c>
      <c r="K81" s="68">
        <v>14.1</v>
      </c>
      <c r="L81" s="66">
        <v>12.5</v>
      </c>
      <c r="M81" s="72">
        <v>12.5</v>
      </c>
      <c r="N81" s="67">
        <v>9</v>
      </c>
      <c r="O81" s="68">
        <v>7.2</v>
      </c>
      <c r="P81" s="66">
        <v>9.3000000000000007</v>
      </c>
      <c r="Q81" s="72">
        <v>9.3000000000000007</v>
      </c>
      <c r="R81" s="67">
        <v>6.4</v>
      </c>
      <c r="S81" s="68">
        <v>4.8</v>
      </c>
      <c r="T81" s="20">
        <v>11</v>
      </c>
      <c r="U81" s="137"/>
      <c r="V81" s="137"/>
      <c r="W81" s="137"/>
      <c r="X81" s="137"/>
      <c r="Y81" s="137"/>
      <c r="Z81" s="65"/>
      <c r="AA81" s="65"/>
      <c r="AB81" s="65"/>
      <c r="AC81" s="65"/>
      <c r="AD81" s="137"/>
      <c r="AE81" s="137"/>
      <c r="AF81" s="137"/>
      <c r="AG81" s="137"/>
      <c r="AH81" s="137"/>
      <c r="AI81" s="137"/>
      <c r="AJ81" s="137"/>
      <c r="AK81" s="20"/>
      <c r="AL81" s="20"/>
      <c r="AM81" s="20"/>
      <c r="AN81" s="20"/>
      <c r="AO81" s="20"/>
      <c r="AP81" s="142"/>
      <c r="AQ81" s="142"/>
    </row>
    <row r="82" spans="1:43" x14ac:dyDescent="0.2">
      <c r="A82" s="126" t="str">
        <f t="shared" si="18"/>
        <v/>
      </c>
      <c r="B82" s="65"/>
      <c r="C82" s="381"/>
      <c r="D82" s="30" t="s">
        <v>29</v>
      </c>
      <c r="E82" s="31"/>
      <c r="F82" s="31" t="s">
        <v>29</v>
      </c>
      <c r="G82" s="32"/>
      <c r="H82" s="30">
        <v>15.3</v>
      </c>
      <c r="I82" s="72">
        <v>15.3</v>
      </c>
      <c r="J82" s="67">
        <v>12.2</v>
      </c>
      <c r="K82" s="68">
        <v>10.5</v>
      </c>
      <c r="L82" s="66">
        <v>8.1999999999999993</v>
      </c>
      <c r="M82" s="72">
        <v>8.1999999999999993</v>
      </c>
      <c r="N82" s="67">
        <v>5.6</v>
      </c>
      <c r="O82" s="68">
        <v>4.2</v>
      </c>
      <c r="P82" s="66">
        <v>5.6</v>
      </c>
      <c r="Q82" s="72">
        <v>5.6</v>
      </c>
      <c r="R82" s="67">
        <v>3.4</v>
      </c>
      <c r="S82" s="68">
        <v>2.2000000000000002</v>
      </c>
      <c r="T82" s="20">
        <v>101</v>
      </c>
      <c r="U82" s="137"/>
      <c r="V82" s="137"/>
      <c r="W82" s="137"/>
      <c r="X82" s="137"/>
      <c r="Y82" s="137"/>
      <c r="Z82" s="65"/>
      <c r="AA82" s="65"/>
      <c r="AB82" s="65"/>
      <c r="AC82" s="65"/>
      <c r="AD82" s="137"/>
      <c r="AE82" s="137"/>
      <c r="AF82" s="137"/>
      <c r="AG82" s="137"/>
      <c r="AH82" s="137"/>
      <c r="AI82" s="137"/>
      <c r="AJ82" s="137"/>
      <c r="AK82" s="20"/>
      <c r="AL82" s="20"/>
      <c r="AM82" s="20"/>
      <c r="AN82" s="20"/>
      <c r="AO82" s="20"/>
      <c r="AP82" s="142"/>
      <c r="AQ82" s="142"/>
    </row>
    <row r="83" spans="1:43" x14ac:dyDescent="0.2">
      <c r="A83" s="126" t="str">
        <f t="shared" si="18"/>
        <v/>
      </c>
      <c r="B83" s="65"/>
      <c r="C83" s="381"/>
      <c r="D83" s="30" t="s">
        <v>28</v>
      </c>
      <c r="E83" s="31"/>
      <c r="F83" s="31"/>
      <c r="G83" s="32" t="s">
        <v>29</v>
      </c>
      <c r="H83" s="30">
        <v>15.4</v>
      </c>
      <c r="I83" s="72">
        <v>15.4</v>
      </c>
      <c r="J83" s="67">
        <v>12.3</v>
      </c>
      <c r="K83" s="68">
        <v>10.6</v>
      </c>
      <c r="L83" s="66">
        <v>8.3000000000000007</v>
      </c>
      <c r="M83" s="72">
        <v>8.3000000000000007</v>
      </c>
      <c r="N83" s="67">
        <v>5.7</v>
      </c>
      <c r="O83" s="68">
        <v>4.3</v>
      </c>
      <c r="P83" s="66">
        <v>5.7</v>
      </c>
      <c r="Q83" s="72">
        <v>5.7</v>
      </c>
      <c r="R83" s="67">
        <v>3.5</v>
      </c>
      <c r="S83" s="68">
        <v>2.2999999999999998</v>
      </c>
      <c r="T83" s="20">
        <v>1001</v>
      </c>
      <c r="U83" s="137"/>
      <c r="V83" s="137"/>
      <c r="W83" s="137"/>
      <c r="X83" s="137"/>
      <c r="Y83" s="137"/>
      <c r="Z83" s="65"/>
      <c r="AA83" s="65"/>
      <c r="AB83" s="65"/>
      <c r="AC83" s="65"/>
      <c r="AD83" s="137"/>
      <c r="AE83" s="137"/>
      <c r="AF83" s="137"/>
      <c r="AG83" s="137"/>
      <c r="AH83" s="137"/>
      <c r="AI83" s="137"/>
      <c r="AJ83" s="137"/>
      <c r="AK83" s="20"/>
      <c r="AL83" s="20"/>
      <c r="AM83" s="20"/>
      <c r="AN83" s="20"/>
      <c r="AO83" s="20"/>
      <c r="AP83" s="142"/>
      <c r="AQ83" s="142"/>
    </row>
    <row r="84" spans="1:43" x14ac:dyDescent="0.2">
      <c r="A84" s="126" t="str">
        <f t="shared" si="18"/>
        <v/>
      </c>
      <c r="B84" s="65"/>
      <c r="C84" s="381"/>
      <c r="D84" s="30" t="s">
        <v>28</v>
      </c>
      <c r="E84" s="31" t="s">
        <v>29</v>
      </c>
      <c r="F84" s="31" t="s">
        <v>29</v>
      </c>
      <c r="G84" s="32"/>
      <c r="H84" s="30">
        <v>22.7</v>
      </c>
      <c r="I84" s="72">
        <v>22.7</v>
      </c>
      <c r="J84" s="67">
        <v>18.100000000000001</v>
      </c>
      <c r="K84" s="68">
        <v>15.5</v>
      </c>
      <c r="L84" s="66">
        <v>14.3</v>
      </c>
      <c r="M84" s="72">
        <v>14.3</v>
      </c>
      <c r="N84" s="67">
        <v>10.4</v>
      </c>
      <c r="O84" s="68">
        <v>8.4</v>
      </c>
      <c r="P84" s="66">
        <v>10.8</v>
      </c>
      <c r="Q84" s="72">
        <v>10.8</v>
      </c>
      <c r="R84" s="67">
        <v>7.5</v>
      </c>
      <c r="S84" s="68">
        <v>5.8</v>
      </c>
      <c r="T84" s="20">
        <v>111</v>
      </c>
      <c r="U84" s="137"/>
      <c r="V84" s="137"/>
      <c r="W84" s="137"/>
      <c r="X84" s="137"/>
      <c r="Y84" s="137"/>
      <c r="Z84" s="65"/>
      <c r="AA84" s="65"/>
      <c r="AB84" s="65"/>
      <c r="AC84" s="65"/>
      <c r="AD84" s="137"/>
      <c r="AE84" s="137"/>
      <c r="AF84" s="137"/>
      <c r="AG84" s="137"/>
      <c r="AH84" s="137"/>
      <c r="AI84" s="137"/>
      <c r="AJ84" s="137"/>
      <c r="AK84" s="20"/>
      <c r="AL84" s="20"/>
      <c r="AM84" s="20"/>
      <c r="AN84" s="20"/>
      <c r="AO84" s="20"/>
      <c r="AP84" s="142"/>
      <c r="AQ84" s="142"/>
    </row>
    <row r="85" spans="1:43" x14ac:dyDescent="0.2">
      <c r="A85" s="126" t="str">
        <f t="shared" si="18"/>
        <v/>
      </c>
      <c r="B85" s="65"/>
      <c r="C85" s="381"/>
      <c r="D85" s="30" t="s">
        <v>28</v>
      </c>
      <c r="E85" s="31" t="s">
        <v>29</v>
      </c>
      <c r="F85" s="31"/>
      <c r="G85" s="32" t="s">
        <v>29</v>
      </c>
      <c r="H85" s="30">
        <v>22.9</v>
      </c>
      <c r="I85" s="72">
        <v>22.9</v>
      </c>
      <c r="J85" s="67">
        <v>18.2</v>
      </c>
      <c r="K85" s="68">
        <v>15.7</v>
      </c>
      <c r="L85" s="66">
        <v>14.5</v>
      </c>
      <c r="M85" s="72">
        <v>14.5</v>
      </c>
      <c r="N85" s="67">
        <v>10.6</v>
      </c>
      <c r="O85" s="68">
        <v>8.5</v>
      </c>
      <c r="P85" s="66">
        <v>10.9</v>
      </c>
      <c r="Q85" s="72">
        <v>10.9</v>
      </c>
      <c r="R85" s="67">
        <v>7.7</v>
      </c>
      <c r="S85" s="68">
        <v>5.9</v>
      </c>
      <c r="T85" s="20">
        <v>1011</v>
      </c>
      <c r="U85" s="137"/>
      <c r="V85" s="137"/>
      <c r="W85" s="137"/>
      <c r="X85" s="137"/>
      <c r="Y85" s="137"/>
      <c r="Z85" s="65"/>
      <c r="AA85" s="65"/>
      <c r="AB85" s="65"/>
      <c r="AC85" s="65"/>
      <c r="AD85" s="137"/>
      <c r="AE85" s="137"/>
      <c r="AF85" s="137"/>
      <c r="AG85" s="137"/>
      <c r="AH85" s="137"/>
      <c r="AI85" s="137"/>
      <c r="AJ85" s="137"/>
      <c r="AK85" s="20"/>
      <c r="AL85" s="20"/>
      <c r="AM85" s="20"/>
      <c r="AN85" s="20"/>
      <c r="AO85" s="20"/>
      <c r="AP85" s="142"/>
      <c r="AQ85" s="142"/>
    </row>
    <row r="86" spans="1:43" x14ac:dyDescent="0.2">
      <c r="A86" s="126" t="str">
        <f t="shared" si="18"/>
        <v/>
      </c>
      <c r="B86" s="65"/>
      <c r="C86" s="381"/>
      <c r="D86" s="30" t="s">
        <v>28</v>
      </c>
      <c r="E86" s="31"/>
      <c r="F86" s="31" t="s">
        <v>29</v>
      </c>
      <c r="G86" s="32" t="s">
        <v>29</v>
      </c>
      <c r="H86" s="30">
        <v>17.5</v>
      </c>
      <c r="I86" s="72">
        <v>17.5</v>
      </c>
      <c r="J86" s="67">
        <v>13.9</v>
      </c>
      <c r="K86" s="68">
        <v>12</v>
      </c>
      <c r="L86" s="66">
        <v>10</v>
      </c>
      <c r="M86" s="72">
        <v>10</v>
      </c>
      <c r="N86" s="67">
        <v>7</v>
      </c>
      <c r="O86" s="68">
        <v>5.4</v>
      </c>
      <c r="P86" s="66">
        <v>7.2</v>
      </c>
      <c r="Q86" s="72">
        <v>7.2</v>
      </c>
      <c r="R86" s="67">
        <v>4.5999999999999996</v>
      </c>
      <c r="S86" s="68">
        <v>3.3</v>
      </c>
      <c r="T86" s="20">
        <v>1101</v>
      </c>
      <c r="U86" s="137"/>
      <c r="V86" s="137"/>
      <c r="W86" s="137"/>
      <c r="X86" s="137"/>
      <c r="Y86" s="137"/>
      <c r="Z86" s="65"/>
      <c r="AA86" s="65"/>
      <c r="AB86" s="65"/>
      <c r="AC86" s="65"/>
      <c r="AD86" s="137"/>
      <c r="AE86" s="137"/>
      <c r="AF86" s="137"/>
      <c r="AG86" s="137"/>
      <c r="AH86" s="137"/>
      <c r="AI86" s="137"/>
      <c r="AJ86" s="137"/>
      <c r="AK86" s="20"/>
      <c r="AL86" s="20"/>
      <c r="AM86" s="20"/>
      <c r="AN86" s="20"/>
      <c r="AO86" s="20"/>
      <c r="AP86" s="142"/>
      <c r="AQ86" s="142"/>
    </row>
    <row r="87" spans="1:43" x14ac:dyDescent="0.2">
      <c r="A87" s="126" t="str">
        <f t="shared" si="18"/>
        <v/>
      </c>
      <c r="C87" s="386"/>
      <c r="D87" s="30" t="s">
        <v>29</v>
      </c>
      <c r="E87" s="31" t="s">
        <v>29</v>
      </c>
      <c r="F87" s="31" t="s">
        <v>29</v>
      </c>
      <c r="G87" s="32" t="s">
        <v>29</v>
      </c>
      <c r="H87" s="30">
        <v>25.1</v>
      </c>
      <c r="I87" s="72">
        <v>25.1</v>
      </c>
      <c r="J87" s="67">
        <v>20</v>
      </c>
      <c r="K87" s="68">
        <v>17.2</v>
      </c>
      <c r="L87" s="66">
        <v>16.3</v>
      </c>
      <c r="M87" s="72">
        <v>16.3</v>
      </c>
      <c r="N87" s="67">
        <v>12</v>
      </c>
      <c r="O87" s="68">
        <v>9.6999999999999993</v>
      </c>
      <c r="P87" s="66">
        <v>12.5</v>
      </c>
      <c r="Q87" s="72">
        <v>12.5</v>
      </c>
      <c r="R87" s="67">
        <v>8.9</v>
      </c>
      <c r="S87" s="68">
        <v>6.9</v>
      </c>
      <c r="T87" s="20">
        <v>1111</v>
      </c>
      <c r="U87" s="137"/>
      <c r="V87" s="137"/>
      <c r="W87" s="137"/>
      <c r="X87" s="137"/>
      <c r="Y87" s="137"/>
      <c r="Z87" s="65"/>
      <c r="AA87" s="65"/>
      <c r="AB87" s="65"/>
      <c r="AC87" s="65"/>
      <c r="AD87" s="137"/>
      <c r="AE87" s="137"/>
      <c r="AF87" s="137"/>
      <c r="AG87" s="137"/>
      <c r="AH87" s="137"/>
      <c r="AI87" s="137"/>
      <c r="AJ87" s="137"/>
      <c r="AK87" s="20"/>
      <c r="AL87" s="20"/>
      <c r="AM87" s="20"/>
      <c r="AN87" s="20"/>
      <c r="AO87" s="20"/>
      <c r="AP87" s="142"/>
      <c r="AQ87" s="142"/>
    </row>
    <row r="88" spans="1:43" x14ac:dyDescent="0.2">
      <c r="A88" s="126" t="str">
        <f>IF($AJ$74=$T88,"★","")</f>
        <v/>
      </c>
      <c r="B88" s="65" t="s">
        <v>58</v>
      </c>
      <c r="C88" s="380" t="s">
        <v>69</v>
      </c>
      <c r="D88" s="30" t="s">
        <v>29</v>
      </c>
      <c r="E88" s="31"/>
      <c r="F88" s="31"/>
      <c r="G88" s="32"/>
      <c r="H88" s="30">
        <v>14.8</v>
      </c>
      <c r="I88" s="72">
        <v>14.8</v>
      </c>
      <c r="J88" s="67">
        <v>12</v>
      </c>
      <c r="K88" s="68">
        <v>9.4</v>
      </c>
      <c r="L88" s="66">
        <v>10.3</v>
      </c>
      <c r="M88" s="72">
        <v>10.3</v>
      </c>
      <c r="N88" s="67">
        <v>7.8</v>
      </c>
      <c r="O88" s="68">
        <v>8.6999999999999993</v>
      </c>
      <c r="P88" s="66">
        <v>9</v>
      </c>
      <c r="Q88" s="72">
        <v>9</v>
      </c>
      <c r="R88" s="67">
        <v>6.7</v>
      </c>
      <c r="S88" s="68">
        <v>7.7</v>
      </c>
      <c r="T88" s="20">
        <v>1</v>
      </c>
      <c r="U88" s="128"/>
      <c r="V88" s="137"/>
      <c r="W88" s="137"/>
      <c r="X88" s="137"/>
      <c r="Y88" s="137"/>
      <c r="Z88" s="65"/>
      <c r="AA88" s="65"/>
      <c r="AB88" s="65"/>
      <c r="AC88" s="65"/>
      <c r="AD88" s="137"/>
      <c r="AE88" s="137"/>
      <c r="AF88" s="137"/>
      <c r="AG88" s="137"/>
      <c r="AH88" s="137"/>
      <c r="AI88" s="137"/>
      <c r="AJ88" s="137"/>
      <c r="AK88" s="20"/>
      <c r="AL88" s="20"/>
      <c r="AM88" s="20"/>
      <c r="AN88" s="20"/>
      <c r="AO88" s="20"/>
      <c r="AP88" s="142"/>
      <c r="AQ88" s="142"/>
    </row>
    <row r="89" spans="1:43" x14ac:dyDescent="0.2">
      <c r="A89" s="126" t="str">
        <f t="shared" ref="A89:A95" si="19">IF($AJ$74=$T89,"★","")</f>
        <v/>
      </c>
      <c r="B89" s="65"/>
      <c r="C89" s="381"/>
      <c r="D89" s="30" t="s">
        <v>29</v>
      </c>
      <c r="E89" s="31" t="s">
        <v>29</v>
      </c>
      <c r="F89" s="31"/>
      <c r="G89" s="32"/>
      <c r="H89" s="30">
        <v>20.6</v>
      </c>
      <c r="I89" s="72">
        <v>20.6</v>
      </c>
      <c r="J89" s="67">
        <v>16.399999999999999</v>
      </c>
      <c r="K89" s="68">
        <v>14.1</v>
      </c>
      <c r="L89" s="66">
        <v>12.5</v>
      </c>
      <c r="M89" s="72">
        <v>12.5</v>
      </c>
      <c r="N89" s="67">
        <v>9</v>
      </c>
      <c r="O89" s="68">
        <v>7.2</v>
      </c>
      <c r="P89" s="66">
        <v>9.3000000000000007</v>
      </c>
      <c r="Q89" s="72">
        <v>9.3000000000000007</v>
      </c>
      <c r="R89" s="67">
        <v>6.4</v>
      </c>
      <c r="S89" s="68">
        <v>4.8</v>
      </c>
      <c r="T89" s="20">
        <v>11</v>
      </c>
      <c r="U89" s="137"/>
      <c r="V89" s="137"/>
      <c r="W89" s="137"/>
      <c r="X89" s="137"/>
      <c r="Y89" s="137"/>
      <c r="Z89" s="65"/>
      <c r="AA89" s="65"/>
      <c r="AB89" s="65"/>
      <c r="AC89" s="65"/>
      <c r="AD89" s="137"/>
      <c r="AE89" s="137"/>
      <c r="AF89" s="137"/>
      <c r="AG89" s="137"/>
      <c r="AH89" s="137"/>
      <c r="AI89" s="137"/>
      <c r="AJ89" s="137"/>
      <c r="AK89" s="20"/>
      <c r="AL89" s="20"/>
      <c r="AM89" s="20"/>
      <c r="AN89" s="20"/>
      <c r="AO89" s="20"/>
      <c r="AP89" s="142"/>
      <c r="AQ89" s="142"/>
    </row>
    <row r="90" spans="1:43" x14ac:dyDescent="0.2">
      <c r="A90" s="126" t="str">
        <f t="shared" si="19"/>
        <v/>
      </c>
      <c r="B90" s="65"/>
      <c r="C90" s="381"/>
      <c r="D90" s="30" t="s">
        <v>29</v>
      </c>
      <c r="E90" s="31"/>
      <c r="F90" s="31" t="s">
        <v>29</v>
      </c>
      <c r="G90" s="32"/>
      <c r="H90" s="30">
        <v>15.3</v>
      </c>
      <c r="I90" s="72">
        <v>15.3</v>
      </c>
      <c r="J90" s="67">
        <v>12.2</v>
      </c>
      <c r="K90" s="68">
        <v>10.5</v>
      </c>
      <c r="L90" s="66">
        <v>8.1999999999999993</v>
      </c>
      <c r="M90" s="72">
        <v>8.1999999999999993</v>
      </c>
      <c r="N90" s="67">
        <v>5.6</v>
      </c>
      <c r="O90" s="68">
        <v>4.2</v>
      </c>
      <c r="P90" s="66">
        <v>5.6</v>
      </c>
      <c r="Q90" s="72">
        <v>5.6</v>
      </c>
      <c r="R90" s="67">
        <v>3.4</v>
      </c>
      <c r="S90" s="68">
        <v>2.2000000000000002</v>
      </c>
      <c r="T90" s="20">
        <v>101</v>
      </c>
      <c r="U90" s="137"/>
      <c r="V90" s="137"/>
      <c r="W90" s="137"/>
      <c r="X90" s="137"/>
      <c r="Y90" s="137"/>
      <c r="Z90" s="65"/>
      <c r="AA90" s="65"/>
      <c r="AB90" s="65"/>
      <c r="AC90" s="65"/>
      <c r="AD90" s="137"/>
      <c r="AE90" s="137"/>
      <c r="AF90" s="137"/>
      <c r="AG90" s="137"/>
      <c r="AH90" s="137"/>
      <c r="AI90" s="137"/>
      <c r="AJ90" s="137"/>
      <c r="AK90" s="20"/>
      <c r="AL90" s="20"/>
      <c r="AM90" s="20"/>
      <c r="AN90" s="20"/>
      <c r="AO90" s="20"/>
      <c r="AP90" s="142"/>
      <c r="AQ90" s="142"/>
    </row>
    <row r="91" spans="1:43" x14ac:dyDescent="0.2">
      <c r="A91" s="126" t="str">
        <f t="shared" si="19"/>
        <v/>
      </c>
      <c r="B91" s="65"/>
      <c r="C91" s="381"/>
      <c r="D91" s="30" t="s">
        <v>28</v>
      </c>
      <c r="E91" s="31"/>
      <c r="F91" s="31"/>
      <c r="G91" s="32" t="s">
        <v>29</v>
      </c>
      <c r="H91" s="30">
        <v>15.4</v>
      </c>
      <c r="I91" s="72">
        <v>15.4</v>
      </c>
      <c r="J91" s="67">
        <v>12.3</v>
      </c>
      <c r="K91" s="68">
        <v>10.6</v>
      </c>
      <c r="L91" s="66">
        <v>8.3000000000000007</v>
      </c>
      <c r="M91" s="72">
        <v>8.3000000000000007</v>
      </c>
      <c r="N91" s="67">
        <v>5.7</v>
      </c>
      <c r="O91" s="68">
        <v>4.3</v>
      </c>
      <c r="P91" s="66">
        <v>5.7</v>
      </c>
      <c r="Q91" s="72">
        <v>5.7</v>
      </c>
      <c r="R91" s="67">
        <v>3.5</v>
      </c>
      <c r="S91" s="68">
        <v>2.2999999999999998</v>
      </c>
      <c r="T91" s="20">
        <v>1001</v>
      </c>
      <c r="U91" s="137"/>
      <c r="V91" s="137"/>
      <c r="W91" s="137"/>
      <c r="X91" s="137"/>
      <c r="Y91" s="137"/>
      <c r="Z91" s="65"/>
      <c r="AA91" s="65"/>
      <c r="AB91" s="65"/>
      <c r="AC91" s="65"/>
      <c r="AD91" s="137"/>
      <c r="AE91" s="137"/>
      <c r="AF91" s="137"/>
      <c r="AG91" s="137"/>
      <c r="AH91" s="137"/>
      <c r="AI91" s="137"/>
      <c r="AJ91" s="137"/>
      <c r="AK91" s="20"/>
      <c r="AL91" s="20"/>
      <c r="AM91" s="20"/>
      <c r="AN91" s="20"/>
      <c r="AO91" s="20"/>
      <c r="AP91" s="142"/>
      <c r="AQ91" s="142"/>
    </row>
    <row r="92" spans="1:43" x14ac:dyDescent="0.2">
      <c r="A92" s="126" t="str">
        <f t="shared" si="19"/>
        <v/>
      </c>
      <c r="B92" s="65"/>
      <c r="C92" s="381"/>
      <c r="D92" s="30" t="s">
        <v>28</v>
      </c>
      <c r="E92" s="31" t="s">
        <v>29</v>
      </c>
      <c r="F92" s="31" t="s">
        <v>29</v>
      </c>
      <c r="G92" s="32"/>
      <c r="H92" s="30">
        <v>22.7</v>
      </c>
      <c r="I92" s="72">
        <v>22.7</v>
      </c>
      <c r="J92" s="67">
        <v>18.100000000000001</v>
      </c>
      <c r="K92" s="68">
        <v>15.5</v>
      </c>
      <c r="L92" s="66">
        <v>14.3</v>
      </c>
      <c r="M92" s="72">
        <v>14.3</v>
      </c>
      <c r="N92" s="67">
        <v>10.4</v>
      </c>
      <c r="O92" s="68">
        <v>8.4</v>
      </c>
      <c r="P92" s="66">
        <v>10.8</v>
      </c>
      <c r="Q92" s="72">
        <v>10.8</v>
      </c>
      <c r="R92" s="67">
        <v>7.5</v>
      </c>
      <c r="S92" s="68">
        <v>5.8</v>
      </c>
      <c r="T92" s="20">
        <v>111</v>
      </c>
      <c r="U92" s="137"/>
      <c r="V92" s="137"/>
      <c r="W92" s="137"/>
      <c r="X92" s="137"/>
      <c r="Y92" s="137"/>
      <c r="Z92" s="65"/>
      <c r="AA92" s="65"/>
      <c r="AB92" s="65"/>
      <c r="AC92" s="65"/>
      <c r="AD92" s="137"/>
      <c r="AE92" s="137"/>
      <c r="AF92" s="137"/>
      <c r="AG92" s="137"/>
      <c r="AH92" s="137"/>
      <c r="AI92" s="137"/>
      <c r="AJ92" s="137"/>
      <c r="AK92" s="20"/>
      <c r="AL92" s="20"/>
      <c r="AM92" s="20"/>
      <c r="AN92" s="20"/>
      <c r="AO92" s="20"/>
      <c r="AP92" s="142"/>
      <c r="AQ92" s="142"/>
    </row>
    <row r="93" spans="1:43" x14ac:dyDescent="0.2">
      <c r="A93" s="126" t="str">
        <f t="shared" si="19"/>
        <v/>
      </c>
      <c r="B93" s="65"/>
      <c r="C93" s="381"/>
      <c r="D93" s="30" t="s">
        <v>28</v>
      </c>
      <c r="E93" s="31" t="s">
        <v>29</v>
      </c>
      <c r="F93" s="31"/>
      <c r="G93" s="32" t="s">
        <v>29</v>
      </c>
      <c r="H93" s="30">
        <v>22.9</v>
      </c>
      <c r="I93" s="72">
        <v>22.9</v>
      </c>
      <c r="J93" s="67">
        <v>18.2</v>
      </c>
      <c r="K93" s="68">
        <v>15.7</v>
      </c>
      <c r="L93" s="66">
        <v>14.5</v>
      </c>
      <c r="M93" s="72">
        <v>14.5</v>
      </c>
      <c r="N93" s="67">
        <v>10.6</v>
      </c>
      <c r="O93" s="68">
        <v>8.5</v>
      </c>
      <c r="P93" s="66">
        <v>10.9</v>
      </c>
      <c r="Q93" s="72">
        <v>10.9</v>
      </c>
      <c r="R93" s="67">
        <v>7.7</v>
      </c>
      <c r="S93" s="68">
        <v>5.9</v>
      </c>
      <c r="T93" s="20">
        <v>1011</v>
      </c>
      <c r="U93" s="137"/>
      <c r="V93" s="137"/>
      <c r="W93" s="137"/>
      <c r="X93" s="137"/>
      <c r="Y93" s="137"/>
      <c r="Z93" s="65"/>
      <c r="AA93" s="65"/>
      <c r="AB93" s="65"/>
      <c r="AC93" s="65"/>
      <c r="AD93" s="137"/>
      <c r="AE93" s="137"/>
      <c r="AF93" s="137"/>
      <c r="AG93" s="137"/>
      <c r="AH93" s="137"/>
      <c r="AI93" s="137"/>
      <c r="AJ93" s="137"/>
      <c r="AK93" s="20"/>
      <c r="AL93" s="20"/>
      <c r="AM93" s="20"/>
      <c r="AN93" s="20"/>
      <c r="AO93" s="20"/>
      <c r="AP93" s="142"/>
      <c r="AQ93" s="142"/>
    </row>
    <row r="94" spans="1:43" x14ac:dyDescent="0.2">
      <c r="A94" s="126" t="str">
        <f t="shared" si="19"/>
        <v/>
      </c>
      <c r="B94" s="65"/>
      <c r="C94" s="381"/>
      <c r="D94" s="30" t="s">
        <v>28</v>
      </c>
      <c r="E94" s="31"/>
      <c r="F94" s="31" t="s">
        <v>29</v>
      </c>
      <c r="G94" s="32" t="s">
        <v>29</v>
      </c>
      <c r="H94" s="30">
        <v>17.5</v>
      </c>
      <c r="I94" s="72">
        <v>17.5</v>
      </c>
      <c r="J94" s="67">
        <v>13.9</v>
      </c>
      <c r="K94" s="68">
        <v>12</v>
      </c>
      <c r="L94" s="66">
        <v>10</v>
      </c>
      <c r="M94" s="72">
        <v>10</v>
      </c>
      <c r="N94" s="67">
        <v>7</v>
      </c>
      <c r="O94" s="68">
        <v>5.4</v>
      </c>
      <c r="P94" s="66">
        <v>7.2</v>
      </c>
      <c r="Q94" s="72">
        <v>7.2</v>
      </c>
      <c r="R94" s="67">
        <v>4.5999999999999996</v>
      </c>
      <c r="S94" s="68">
        <v>3.3</v>
      </c>
      <c r="T94" s="20">
        <v>1101</v>
      </c>
      <c r="U94" s="137"/>
      <c r="V94" s="137"/>
      <c r="W94" s="137"/>
      <c r="X94" s="137"/>
      <c r="Y94" s="137"/>
      <c r="Z94" s="65"/>
      <c r="AA94" s="65"/>
      <c r="AB94" s="65"/>
      <c r="AC94" s="65"/>
      <c r="AD94" s="137"/>
      <c r="AE94" s="137"/>
      <c r="AF94" s="137"/>
      <c r="AG94" s="137"/>
      <c r="AH94" s="137"/>
      <c r="AI94" s="137"/>
      <c r="AJ94" s="137"/>
      <c r="AK94" s="20"/>
      <c r="AL94" s="20"/>
      <c r="AM94" s="20"/>
      <c r="AN94" s="20"/>
      <c r="AO94" s="20"/>
      <c r="AP94" s="142"/>
      <c r="AQ94" s="142"/>
    </row>
    <row r="95" spans="1:43" x14ac:dyDescent="0.2">
      <c r="A95" s="126" t="str">
        <f t="shared" si="19"/>
        <v/>
      </c>
      <c r="B95" s="65"/>
      <c r="C95" s="386"/>
      <c r="D95" s="30" t="s">
        <v>29</v>
      </c>
      <c r="E95" s="31" t="s">
        <v>29</v>
      </c>
      <c r="F95" s="31" t="s">
        <v>29</v>
      </c>
      <c r="G95" s="32" t="s">
        <v>29</v>
      </c>
      <c r="H95" s="30">
        <v>25.1</v>
      </c>
      <c r="I95" s="72">
        <v>25.1</v>
      </c>
      <c r="J95" s="67">
        <v>20</v>
      </c>
      <c r="K95" s="68">
        <v>17.2</v>
      </c>
      <c r="L95" s="66">
        <v>16.3</v>
      </c>
      <c r="M95" s="72">
        <v>16.3</v>
      </c>
      <c r="N95" s="67">
        <v>12</v>
      </c>
      <c r="O95" s="68">
        <v>9.6999999999999993</v>
      </c>
      <c r="P95" s="66">
        <v>12.5</v>
      </c>
      <c r="Q95" s="72">
        <v>12.5</v>
      </c>
      <c r="R95" s="67">
        <v>8.9</v>
      </c>
      <c r="S95" s="68">
        <v>6.9</v>
      </c>
      <c r="T95" s="20">
        <v>1111</v>
      </c>
      <c r="U95" s="137"/>
      <c r="V95" s="137"/>
      <c r="W95" s="137"/>
      <c r="X95" s="137"/>
      <c r="Y95" s="137"/>
      <c r="Z95" s="65"/>
      <c r="AA95" s="65"/>
      <c r="AB95" s="65"/>
      <c r="AC95" s="65"/>
      <c r="AD95" s="137"/>
      <c r="AE95" s="137"/>
      <c r="AF95" s="137"/>
      <c r="AG95" s="137"/>
      <c r="AH95" s="137"/>
      <c r="AI95" s="137"/>
      <c r="AJ95" s="137"/>
      <c r="AK95" s="20"/>
      <c r="AL95" s="20"/>
      <c r="AM95" s="20"/>
      <c r="AN95" s="20"/>
      <c r="AO95" s="20"/>
      <c r="AP95" s="142"/>
      <c r="AQ95" s="142"/>
    </row>
    <row r="96" spans="1:43" x14ac:dyDescent="0.2">
      <c r="A96" s="126" t="str">
        <f>IF($AJ$75=$T96,"★","")</f>
        <v/>
      </c>
      <c r="B96" s="65" t="s">
        <v>59</v>
      </c>
      <c r="C96" s="380" t="s">
        <v>70</v>
      </c>
      <c r="D96" s="30" t="s">
        <v>29</v>
      </c>
      <c r="E96" s="31"/>
      <c r="F96" s="31"/>
      <c r="G96" s="32"/>
      <c r="H96" s="30">
        <v>14.8</v>
      </c>
      <c r="I96" s="72">
        <v>14.8</v>
      </c>
      <c r="J96" s="67">
        <v>12</v>
      </c>
      <c r="K96" s="68">
        <v>9.4</v>
      </c>
      <c r="L96" s="66">
        <v>10.3</v>
      </c>
      <c r="M96" s="72">
        <v>10.3</v>
      </c>
      <c r="N96" s="67">
        <v>7.8</v>
      </c>
      <c r="O96" s="68">
        <v>8.6999999999999993</v>
      </c>
      <c r="P96" s="66">
        <v>9</v>
      </c>
      <c r="Q96" s="72">
        <v>9</v>
      </c>
      <c r="R96" s="67">
        <v>6.7</v>
      </c>
      <c r="S96" s="68">
        <v>7.7</v>
      </c>
      <c r="T96" s="20">
        <v>1</v>
      </c>
      <c r="U96" s="128"/>
      <c r="V96" s="137"/>
      <c r="W96" s="137"/>
      <c r="X96" s="137"/>
      <c r="Y96" s="137"/>
      <c r="Z96" s="65"/>
      <c r="AA96" s="65"/>
      <c r="AB96" s="65"/>
      <c r="AC96" s="65"/>
      <c r="AD96" s="137"/>
      <c r="AE96" s="137"/>
      <c r="AF96" s="137"/>
      <c r="AG96" s="137"/>
      <c r="AH96" s="137"/>
      <c r="AI96" s="137"/>
      <c r="AJ96" s="137"/>
      <c r="AK96" s="20"/>
      <c r="AL96" s="20"/>
      <c r="AM96" s="20"/>
      <c r="AN96" s="20"/>
      <c r="AO96" s="20"/>
      <c r="AP96" s="142"/>
      <c r="AQ96" s="142"/>
    </row>
    <row r="97" spans="1:43" x14ac:dyDescent="0.2">
      <c r="A97" s="126" t="str">
        <f t="shared" ref="A97:A103" si="20">IF($AJ$75=$T97,"★","")</f>
        <v/>
      </c>
      <c r="B97" s="65"/>
      <c r="C97" s="381"/>
      <c r="D97" s="30" t="s">
        <v>29</v>
      </c>
      <c r="E97" s="31" t="s">
        <v>29</v>
      </c>
      <c r="F97" s="31"/>
      <c r="G97" s="32"/>
      <c r="H97" s="30">
        <v>20.6</v>
      </c>
      <c r="I97" s="72">
        <v>20.6</v>
      </c>
      <c r="J97" s="67">
        <v>16.399999999999999</v>
      </c>
      <c r="K97" s="68">
        <v>14.1</v>
      </c>
      <c r="L97" s="66">
        <v>12.5</v>
      </c>
      <c r="M97" s="72">
        <v>12.5</v>
      </c>
      <c r="N97" s="67">
        <v>9</v>
      </c>
      <c r="O97" s="68">
        <v>7.2</v>
      </c>
      <c r="P97" s="66">
        <v>9.3000000000000007</v>
      </c>
      <c r="Q97" s="72">
        <v>9.3000000000000007</v>
      </c>
      <c r="R97" s="67">
        <v>6.4</v>
      </c>
      <c r="S97" s="68">
        <v>4.8</v>
      </c>
      <c r="T97" s="20">
        <v>11</v>
      </c>
      <c r="U97" s="137"/>
      <c r="V97" s="137"/>
      <c r="W97" s="137"/>
      <c r="X97" s="137"/>
      <c r="Y97" s="137"/>
      <c r="Z97" s="65"/>
      <c r="AA97" s="65"/>
      <c r="AB97" s="65"/>
      <c r="AC97" s="65"/>
      <c r="AD97" s="137"/>
      <c r="AE97" s="137"/>
      <c r="AF97" s="137"/>
      <c r="AG97" s="137"/>
      <c r="AH97" s="137"/>
      <c r="AI97" s="137"/>
      <c r="AJ97" s="137"/>
      <c r="AK97" s="20"/>
      <c r="AL97" s="20"/>
      <c r="AM97" s="20"/>
      <c r="AN97" s="20"/>
      <c r="AO97" s="20"/>
      <c r="AP97" s="142"/>
      <c r="AQ97" s="142"/>
    </row>
    <row r="98" spans="1:43" x14ac:dyDescent="0.2">
      <c r="A98" s="126" t="str">
        <f t="shared" si="20"/>
        <v/>
      </c>
      <c r="B98" s="65"/>
      <c r="C98" s="381"/>
      <c r="D98" s="30" t="s">
        <v>29</v>
      </c>
      <c r="E98" s="31"/>
      <c r="F98" s="31" t="s">
        <v>29</v>
      </c>
      <c r="G98" s="32"/>
      <c r="H98" s="30">
        <v>15.3</v>
      </c>
      <c r="I98" s="72">
        <v>15.3</v>
      </c>
      <c r="J98" s="67">
        <v>12.2</v>
      </c>
      <c r="K98" s="68">
        <v>10.5</v>
      </c>
      <c r="L98" s="66">
        <v>8.1999999999999993</v>
      </c>
      <c r="M98" s="72">
        <v>8.1999999999999993</v>
      </c>
      <c r="N98" s="67">
        <v>5.6</v>
      </c>
      <c r="O98" s="68">
        <v>4.2</v>
      </c>
      <c r="P98" s="66">
        <v>5.6</v>
      </c>
      <c r="Q98" s="72">
        <v>5.6</v>
      </c>
      <c r="R98" s="67">
        <v>3.4</v>
      </c>
      <c r="S98" s="68">
        <v>2.2000000000000002</v>
      </c>
      <c r="T98" s="20">
        <v>101</v>
      </c>
      <c r="U98" s="137"/>
      <c r="V98" s="137"/>
      <c r="W98" s="137"/>
      <c r="X98" s="137"/>
      <c r="Y98" s="137"/>
      <c r="Z98" s="65"/>
      <c r="AA98" s="65"/>
      <c r="AB98" s="65"/>
      <c r="AC98" s="65"/>
      <c r="AD98" s="137"/>
      <c r="AE98" s="137"/>
      <c r="AF98" s="137"/>
      <c r="AG98" s="137"/>
      <c r="AH98" s="137"/>
      <c r="AI98" s="137"/>
      <c r="AJ98" s="137"/>
      <c r="AK98" s="20"/>
      <c r="AL98" s="20"/>
      <c r="AM98" s="20"/>
      <c r="AN98" s="20"/>
      <c r="AO98" s="20"/>
      <c r="AP98" s="142"/>
      <c r="AQ98" s="142"/>
    </row>
    <row r="99" spans="1:43" x14ac:dyDescent="0.2">
      <c r="A99" s="126" t="str">
        <f t="shared" si="20"/>
        <v/>
      </c>
      <c r="B99" s="65"/>
      <c r="C99" s="381"/>
      <c r="D99" s="30" t="s">
        <v>28</v>
      </c>
      <c r="E99" s="31"/>
      <c r="F99" s="31"/>
      <c r="G99" s="32" t="s">
        <v>29</v>
      </c>
      <c r="H99" s="30">
        <v>15.4</v>
      </c>
      <c r="I99" s="72">
        <v>15.4</v>
      </c>
      <c r="J99" s="67">
        <v>12.3</v>
      </c>
      <c r="K99" s="68">
        <v>10.6</v>
      </c>
      <c r="L99" s="66">
        <v>8.3000000000000007</v>
      </c>
      <c r="M99" s="72">
        <v>8.3000000000000007</v>
      </c>
      <c r="N99" s="67">
        <v>5.7</v>
      </c>
      <c r="O99" s="68">
        <v>4.3</v>
      </c>
      <c r="P99" s="66">
        <v>5.7</v>
      </c>
      <c r="Q99" s="72">
        <v>5.7</v>
      </c>
      <c r="R99" s="67">
        <v>3.5</v>
      </c>
      <c r="S99" s="68">
        <v>2.2999999999999998</v>
      </c>
      <c r="T99" s="20">
        <v>1001</v>
      </c>
      <c r="U99" s="137"/>
      <c r="V99" s="137"/>
      <c r="W99" s="137"/>
      <c r="X99" s="137"/>
      <c r="Y99" s="137"/>
      <c r="Z99" s="65"/>
      <c r="AA99" s="65"/>
      <c r="AB99" s="65"/>
      <c r="AC99" s="65"/>
      <c r="AD99" s="137"/>
      <c r="AE99" s="137"/>
      <c r="AF99" s="137"/>
      <c r="AG99" s="137"/>
      <c r="AH99" s="137"/>
      <c r="AI99" s="137"/>
      <c r="AJ99" s="137"/>
      <c r="AK99" s="20"/>
      <c r="AL99" s="20"/>
      <c r="AM99" s="20"/>
      <c r="AN99" s="20"/>
      <c r="AO99" s="20"/>
      <c r="AP99" s="142"/>
      <c r="AQ99" s="142"/>
    </row>
    <row r="100" spans="1:43" x14ac:dyDescent="0.2">
      <c r="A100" s="126" t="str">
        <f t="shared" si="20"/>
        <v/>
      </c>
      <c r="B100" s="65"/>
      <c r="C100" s="381"/>
      <c r="D100" s="30" t="s">
        <v>28</v>
      </c>
      <c r="E100" s="31" t="s">
        <v>29</v>
      </c>
      <c r="F100" s="31" t="s">
        <v>29</v>
      </c>
      <c r="G100" s="32"/>
      <c r="H100" s="30">
        <v>22.7</v>
      </c>
      <c r="I100" s="72">
        <v>22.7</v>
      </c>
      <c r="J100" s="67">
        <v>18.100000000000001</v>
      </c>
      <c r="K100" s="68">
        <v>15.5</v>
      </c>
      <c r="L100" s="66">
        <v>14.3</v>
      </c>
      <c r="M100" s="72">
        <v>14.3</v>
      </c>
      <c r="N100" s="67">
        <v>10.4</v>
      </c>
      <c r="O100" s="68">
        <v>8.4</v>
      </c>
      <c r="P100" s="66">
        <v>10.8</v>
      </c>
      <c r="Q100" s="72">
        <v>10.8</v>
      </c>
      <c r="R100" s="67">
        <v>7.5</v>
      </c>
      <c r="S100" s="68">
        <v>5.8</v>
      </c>
      <c r="T100" s="20">
        <v>111</v>
      </c>
      <c r="U100" s="137"/>
      <c r="V100" s="137"/>
      <c r="W100" s="137"/>
      <c r="X100" s="137"/>
      <c r="Y100" s="137"/>
      <c r="Z100" s="65"/>
      <c r="AA100" s="65"/>
      <c r="AB100" s="65"/>
      <c r="AC100" s="65"/>
      <c r="AD100" s="137"/>
      <c r="AE100" s="137"/>
      <c r="AF100" s="137"/>
      <c r="AG100" s="137"/>
      <c r="AH100" s="137"/>
      <c r="AI100" s="137"/>
      <c r="AJ100" s="137"/>
      <c r="AK100" s="20"/>
      <c r="AL100" s="20"/>
      <c r="AM100" s="20"/>
      <c r="AN100" s="20"/>
      <c r="AO100" s="20"/>
      <c r="AP100" s="142"/>
      <c r="AQ100" s="142"/>
    </row>
    <row r="101" spans="1:43" x14ac:dyDescent="0.2">
      <c r="A101" s="126" t="str">
        <f t="shared" si="20"/>
        <v/>
      </c>
      <c r="B101" s="65"/>
      <c r="C101" s="381"/>
      <c r="D101" s="30" t="s">
        <v>28</v>
      </c>
      <c r="E101" s="31" t="s">
        <v>29</v>
      </c>
      <c r="F101" s="31"/>
      <c r="G101" s="32" t="s">
        <v>29</v>
      </c>
      <c r="H101" s="30">
        <v>22.9</v>
      </c>
      <c r="I101" s="72">
        <v>22.9</v>
      </c>
      <c r="J101" s="67">
        <v>18.2</v>
      </c>
      <c r="K101" s="68">
        <v>15.7</v>
      </c>
      <c r="L101" s="66">
        <v>14.5</v>
      </c>
      <c r="M101" s="72">
        <v>14.5</v>
      </c>
      <c r="N101" s="67">
        <v>10.6</v>
      </c>
      <c r="O101" s="68">
        <v>8.5</v>
      </c>
      <c r="P101" s="66">
        <v>10.9</v>
      </c>
      <c r="Q101" s="72">
        <v>10.9</v>
      </c>
      <c r="R101" s="67">
        <v>7.7</v>
      </c>
      <c r="S101" s="68">
        <v>5.9</v>
      </c>
      <c r="T101" s="20">
        <v>1011</v>
      </c>
      <c r="U101" s="137"/>
      <c r="V101" s="137"/>
      <c r="W101" s="137"/>
      <c r="X101" s="137"/>
      <c r="Y101" s="137"/>
      <c r="Z101" s="65"/>
      <c r="AA101" s="65"/>
      <c r="AB101" s="65"/>
      <c r="AC101" s="65"/>
      <c r="AD101" s="137"/>
      <c r="AE101" s="137"/>
      <c r="AF101" s="137"/>
      <c r="AG101" s="137"/>
      <c r="AH101" s="137"/>
      <c r="AI101" s="137"/>
      <c r="AJ101" s="137"/>
      <c r="AK101" s="20"/>
      <c r="AL101" s="20"/>
      <c r="AM101" s="20"/>
      <c r="AN101" s="20"/>
      <c r="AO101" s="20"/>
      <c r="AP101" s="142"/>
      <c r="AQ101" s="142"/>
    </row>
    <row r="102" spans="1:43" x14ac:dyDescent="0.2">
      <c r="A102" s="126" t="str">
        <f t="shared" si="20"/>
        <v/>
      </c>
      <c r="B102" s="65"/>
      <c r="C102" s="381"/>
      <c r="D102" s="30" t="s">
        <v>28</v>
      </c>
      <c r="E102" s="31"/>
      <c r="F102" s="31" t="s">
        <v>29</v>
      </c>
      <c r="G102" s="32" t="s">
        <v>29</v>
      </c>
      <c r="H102" s="30">
        <v>17.5</v>
      </c>
      <c r="I102" s="72">
        <v>17.5</v>
      </c>
      <c r="J102" s="67">
        <v>13.9</v>
      </c>
      <c r="K102" s="68">
        <v>12</v>
      </c>
      <c r="L102" s="66">
        <v>10</v>
      </c>
      <c r="M102" s="72">
        <v>10</v>
      </c>
      <c r="N102" s="67">
        <v>7</v>
      </c>
      <c r="O102" s="68">
        <v>5.4</v>
      </c>
      <c r="P102" s="66">
        <v>7.2</v>
      </c>
      <c r="Q102" s="72">
        <v>7.2</v>
      </c>
      <c r="R102" s="67">
        <v>4.5999999999999996</v>
      </c>
      <c r="S102" s="68">
        <v>3.3</v>
      </c>
      <c r="T102" s="20">
        <v>1101</v>
      </c>
      <c r="U102" s="137"/>
      <c r="V102" s="137"/>
      <c r="W102" s="137"/>
      <c r="X102" s="137"/>
      <c r="Y102" s="137"/>
      <c r="Z102" s="65"/>
      <c r="AA102" s="65"/>
      <c r="AB102" s="65"/>
      <c r="AC102" s="65"/>
      <c r="AD102" s="137"/>
      <c r="AE102" s="137"/>
      <c r="AF102" s="137"/>
      <c r="AG102" s="137"/>
      <c r="AH102" s="137"/>
      <c r="AI102" s="137"/>
      <c r="AJ102" s="137"/>
      <c r="AK102" s="20"/>
      <c r="AL102" s="20"/>
      <c r="AM102" s="20"/>
      <c r="AN102" s="20"/>
      <c r="AO102" s="20"/>
      <c r="AP102" s="142"/>
      <c r="AQ102" s="142"/>
    </row>
    <row r="103" spans="1:43" x14ac:dyDescent="0.2">
      <c r="A103" s="126" t="str">
        <f t="shared" si="20"/>
        <v/>
      </c>
      <c r="C103" s="386"/>
      <c r="D103" s="30" t="s">
        <v>29</v>
      </c>
      <c r="E103" s="31" t="s">
        <v>29</v>
      </c>
      <c r="F103" s="31" t="s">
        <v>29</v>
      </c>
      <c r="G103" s="32" t="s">
        <v>29</v>
      </c>
      <c r="H103" s="30">
        <v>25.1</v>
      </c>
      <c r="I103" s="72">
        <v>25.1</v>
      </c>
      <c r="J103" s="67">
        <v>20</v>
      </c>
      <c r="K103" s="68">
        <v>17.2</v>
      </c>
      <c r="L103" s="66">
        <v>16.3</v>
      </c>
      <c r="M103" s="72">
        <v>16.3</v>
      </c>
      <c r="N103" s="67">
        <v>12</v>
      </c>
      <c r="O103" s="68">
        <v>9.6999999999999993</v>
      </c>
      <c r="P103" s="66">
        <v>12.5</v>
      </c>
      <c r="Q103" s="72">
        <v>12.5</v>
      </c>
      <c r="R103" s="67">
        <v>8.9</v>
      </c>
      <c r="S103" s="68">
        <v>6.9</v>
      </c>
      <c r="T103" s="20">
        <v>1111</v>
      </c>
      <c r="U103" s="137"/>
      <c r="V103" s="137"/>
      <c r="W103" s="137"/>
      <c r="X103" s="137"/>
      <c r="Y103" s="137"/>
      <c r="Z103" s="65"/>
      <c r="AA103" s="65"/>
      <c r="AB103" s="65"/>
      <c r="AC103" s="65"/>
      <c r="AD103" s="137"/>
      <c r="AE103" s="137"/>
      <c r="AF103" s="137"/>
      <c r="AG103" s="137"/>
      <c r="AH103" s="137"/>
      <c r="AI103" s="137"/>
      <c r="AJ103" s="137"/>
      <c r="AK103" s="20"/>
      <c r="AL103" s="20"/>
      <c r="AM103" s="20"/>
      <c r="AN103" s="20"/>
      <c r="AO103" s="20"/>
      <c r="AP103" s="142"/>
      <c r="AQ103" s="142"/>
    </row>
    <row r="104" spans="1:43" x14ac:dyDescent="0.2">
      <c r="A104" s="126" t="str">
        <f>IF($AJ$76=$T104,"★","")</f>
        <v/>
      </c>
      <c r="B104" s="65" t="s">
        <v>60</v>
      </c>
      <c r="C104" s="380" t="e">
        <f>'様式１ー２　費用等明細'!$AA$15</f>
        <v>#NUM!</v>
      </c>
      <c r="D104" s="30" t="s">
        <v>29</v>
      </c>
      <c r="E104" s="31"/>
      <c r="F104" s="31"/>
      <c r="G104" s="32"/>
      <c r="H104" s="30">
        <v>14.8</v>
      </c>
      <c r="I104" s="72">
        <v>14.8</v>
      </c>
      <c r="J104" s="67">
        <v>12</v>
      </c>
      <c r="K104" s="68">
        <v>9.4</v>
      </c>
      <c r="L104" s="66">
        <v>10.3</v>
      </c>
      <c r="M104" s="72">
        <v>10.3</v>
      </c>
      <c r="N104" s="67">
        <v>7.8</v>
      </c>
      <c r="O104" s="68">
        <v>8.6999999999999993</v>
      </c>
      <c r="P104" s="66">
        <v>9</v>
      </c>
      <c r="Q104" s="72">
        <v>9</v>
      </c>
      <c r="R104" s="67">
        <v>6.7</v>
      </c>
      <c r="S104" s="68">
        <v>7.7</v>
      </c>
      <c r="T104" s="20">
        <v>1</v>
      </c>
      <c r="U104" s="128"/>
      <c r="V104" s="137"/>
      <c r="W104" s="137"/>
      <c r="X104" s="137"/>
      <c r="Y104" s="137"/>
      <c r="Z104" s="65"/>
      <c r="AA104" s="65"/>
      <c r="AB104" s="65"/>
      <c r="AC104" s="65"/>
      <c r="AD104" s="137"/>
      <c r="AE104" s="137"/>
      <c r="AF104" s="137"/>
      <c r="AG104" s="137"/>
      <c r="AH104" s="137"/>
      <c r="AI104" s="137"/>
      <c r="AJ104" s="137"/>
      <c r="AK104" s="20"/>
      <c r="AL104" s="20"/>
      <c r="AM104" s="20"/>
      <c r="AN104" s="20"/>
      <c r="AO104" s="20"/>
      <c r="AP104" s="142"/>
      <c r="AQ104" s="142"/>
    </row>
    <row r="105" spans="1:43" x14ac:dyDescent="0.2">
      <c r="A105" s="126" t="str">
        <f t="shared" ref="A105:A111" si="21">IF($AJ$76=$T105,"★","")</f>
        <v/>
      </c>
      <c r="B105" s="65"/>
      <c r="C105" s="381"/>
      <c r="D105" s="30" t="s">
        <v>29</v>
      </c>
      <c r="E105" s="31" t="s">
        <v>29</v>
      </c>
      <c r="F105" s="31"/>
      <c r="G105" s="32"/>
      <c r="H105" s="30">
        <v>20.6</v>
      </c>
      <c r="I105" s="72">
        <v>20.6</v>
      </c>
      <c r="J105" s="67">
        <v>16.399999999999999</v>
      </c>
      <c r="K105" s="68">
        <v>14.1</v>
      </c>
      <c r="L105" s="66">
        <v>12.5</v>
      </c>
      <c r="M105" s="72">
        <v>12.5</v>
      </c>
      <c r="N105" s="67">
        <v>9</v>
      </c>
      <c r="O105" s="68">
        <v>7.2</v>
      </c>
      <c r="P105" s="66">
        <v>9.3000000000000007</v>
      </c>
      <c r="Q105" s="72">
        <v>9.3000000000000007</v>
      </c>
      <c r="R105" s="67">
        <v>6.4</v>
      </c>
      <c r="S105" s="68">
        <v>4.8</v>
      </c>
      <c r="T105" s="20">
        <v>11</v>
      </c>
      <c r="U105" s="137"/>
      <c r="V105" s="137"/>
      <c r="W105" s="137"/>
      <c r="X105" s="137"/>
      <c r="Y105" s="137"/>
      <c r="Z105" s="65"/>
      <c r="AA105" s="65"/>
      <c r="AB105" s="65"/>
      <c r="AC105" s="65"/>
      <c r="AD105" s="137"/>
      <c r="AE105" s="137"/>
      <c r="AF105" s="137"/>
      <c r="AG105" s="137"/>
      <c r="AH105" s="137"/>
      <c r="AI105" s="137"/>
      <c r="AJ105" s="137"/>
      <c r="AK105" s="20"/>
      <c r="AL105" s="20"/>
      <c r="AM105" s="20"/>
      <c r="AN105" s="20"/>
      <c r="AO105" s="20"/>
      <c r="AP105" s="142"/>
      <c r="AQ105" s="142"/>
    </row>
    <row r="106" spans="1:43" x14ac:dyDescent="0.2">
      <c r="A106" s="126" t="str">
        <f t="shared" si="21"/>
        <v/>
      </c>
      <c r="B106" s="65"/>
      <c r="C106" s="381"/>
      <c r="D106" s="30" t="s">
        <v>29</v>
      </c>
      <c r="E106" s="31"/>
      <c r="F106" s="31" t="s">
        <v>29</v>
      </c>
      <c r="G106" s="32"/>
      <c r="H106" s="30">
        <v>15.3</v>
      </c>
      <c r="I106" s="72">
        <v>15.3</v>
      </c>
      <c r="J106" s="67">
        <v>12.2</v>
      </c>
      <c r="K106" s="68">
        <v>10.5</v>
      </c>
      <c r="L106" s="66">
        <v>8.1999999999999993</v>
      </c>
      <c r="M106" s="72">
        <v>8.1999999999999993</v>
      </c>
      <c r="N106" s="67">
        <v>5.6</v>
      </c>
      <c r="O106" s="68">
        <v>4.2</v>
      </c>
      <c r="P106" s="66">
        <v>5.6</v>
      </c>
      <c r="Q106" s="72">
        <v>5.6</v>
      </c>
      <c r="R106" s="67">
        <v>3.4</v>
      </c>
      <c r="S106" s="68">
        <v>2.2000000000000002</v>
      </c>
      <c r="T106" s="20">
        <v>101</v>
      </c>
      <c r="U106" s="137"/>
      <c r="V106" s="137"/>
      <c r="W106" s="137"/>
      <c r="X106" s="137"/>
      <c r="Y106" s="137"/>
      <c r="Z106" s="65"/>
      <c r="AA106" s="65"/>
      <c r="AB106" s="65"/>
      <c r="AC106" s="65"/>
      <c r="AD106" s="137"/>
      <c r="AE106" s="137"/>
      <c r="AF106" s="137"/>
      <c r="AG106" s="137"/>
      <c r="AH106" s="137"/>
      <c r="AI106" s="137"/>
      <c r="AJ106" s="137"/>
      <c r="AK106" s="20"/>
      <c r="AL106" s="20"/>
      <c r="AM106" s="20"/>
      <c r="AN106" s="20"/>
      <c r="AO106" s="20"/>
      <c r="AP106" s="142"/>
      <c r="AQ106" s="142"/>
    </row>
    <row r="107" spans="1:43" x14ac:dyDescent="0.2">
      <c r="A107" s="126" t="str">
        <f t="shared" si="21"/>
        <v/>
      </c>
      <c r="B107" s="65"/>
      <c r="C107" s="381"/>
      <c r="D107" s="30" t="s">
        <v>28</v>
      </c>
      <c r="E107" s="31"/>
      <c r="F107" s="31"/>
      <c r="G107" s="32" t="s">
        <v>29</v>
      </c>
      <c r="H107" s="30">
        <v>15.4</v>
      </c>
      <c r="I107" s="72">
        <v>15.4</v>
      </c>
      <c r="J107" s="67">
        <v>12.3</v>
      </c>
      <c r="K107" s="68">
        <v>10.6</v>
      </c>
      <c r="L107" s="66">
        <v>8.3000000000000007</v>
      </c>
      <c r="M107" s="72">
        <v>8.3000000000000007</v>
      </c>
      <c r="N107" s="67">
        <v>5.7</v>
      </c>
      <c r="O107" s="68">
        <v>4.3</v>
      </c>
      <c r="P107" s="66">
        <v>5.7</v>
      </c>
      <c r="Q107" s="72">
        <v>5.7</v>
      </c>
      <c r="R107" s="67">
        <v>3.5</v>
      </c>
      <c r="S107" s="68">
        <v>2.2999999999999998</v>
      </c>
      <c r="T107" s="20">
        <v>1001</v>
      </c>
      <c r="U107" s="137"/>
      <c r="V107" s="137"/>
      <c r="W107" s="137"/>
      <c r="X107" s="137"/>
      <c r="Y107" s="137"/>
      <c r="Z107" s="65"/>
      <c r="AA107" s="65"/>
      <c r="AB107" s="65"/>
      <c r="AC107" s="65"/>
      <c r="AD107" s="137"/>
      <c r="AE107" s="137"/>
      <c r="AF107" s="137"/>
      <c r="AG107" s="137"/>
      <c r="AH107" s="137"/>
      <c r="AI107" s="137"/>
      <c r="AJ107" s="137"/>
      <c r="AK107" s="20"/>
      <c r="AL107" s="20"/>
      <c r="AM107" s="20"/>
      <c r="AN107" s="20"/>
      <c r="AO107" s="20"/>
      <c r="AP107" s="142"/>
      <c r="AQ107" s="142"/>
    </row>
    <row r="108" spans="1:43" x14ac:dyDescent="0.2">
      <c r="A108" s="126" t="str">
        <f t="shared" si="21"/>
        <v/>
      </c>
      <c r="B108" s="65"/>
      <c r="C108" s="381"/>
      <c r="D108" s="30" t="s">
        <v>28</v>
      </c>
      <c r="E108" s="31" t="s">
        <v>29</v>
      </c>
      <c r="F108" s="31" t="s">
        <v>29</v>
      </c>
      <c r="G108" s="34"/>
      <c r="H108" s="30">
        <v>22.7</v>
      </c>
      <c r="I108" s="72">
        <v>22.7</v>
      </c>
      <c r="J108" s="67">
        <v>18.100000000000001</v>
      </c>
      <c r="K108" s="68">
        <v>15.5</v>
      </c>
      <c r="L108" s="66">
        <v>14.3</v>
      </c>
      <c r="M108" s="72">
        <v>14.3</v>
      </c>
      <c r="N108" s="67">
        <v>10.4</v>
      </c>
      <c r="O108" s="68">
        <v>8.4</v>
      </c>
      <c r="P108" s="66">
        <v>10.8</v>
      </c>
      <c r="Q108" s="72">
        <v>10.8</v>
      </c>
      <c r="R108" s="67">
        <v>7.5</v>
      </c>
      <c r="S108" s="68">
        <v>5.8</v>
      </c>
      <c r="T108" s="20">
        <v>111</v>
      </c>
      <c r="U108" s="137"/>
      <c r="V108" s="137"/>
      <c r="W108" s="137"/>
      <c r="X108" s="137"/>
      <c r="Y108" s="137"/>
      <c r="Z108" s="65"/>
      <c r="AA108" s="65"/>
      <c r="AB108" s="65"/>
      <c r="AC108" s="65"/>
      <c r="AD108" s="137"/>
      <c r="AE108" s="137"/>
      <c r="AF108" s="137"/>
      <c r="AG108" s="137"/>
      <c r="AH108" s="137"/>
      <c r="AI108" s="137"/>
      <c r="AJ108" s="137"/>
      <c r="AK108" s="20"/>
      <c r="AL108" s="20"/>
      <c r="AM108" s="20"/>
      <c r="AN108" s="20"/>
      <c r="AO108" s="20"/>
      <c r="AP108" s="142"/>
      <c r="AQ108" s="142"/>
    </row>
    <row r="109" spans="1:43" x14ac:dyDescent="0.2">
      <c r="A109" s="126" t="str">
        <f t="shared" si="21"/>
        <v/>
      </c>
      <c r="B109" s="65"/>
      <c r="C109" s="381"/>
      <c r="D109" s="30" t="s">
        <v>28</v>
      </c>
      <c r="E109" s="31" t="s">
        <v>29</v>
      </c>
      <c r="F109" s="31"/>
      <c r="G109" s="34" t="s">
        <v>29</v>
      </c>
      <c r="H109" s="30">
        <v>22.9</v>
      </c>
      <c r="I109" s="72">
        <v>22.9</v>
      </c>
      <c r="J109" s="67">
        <v>18.2</v>
      </c>
      <c r="K109" s="68">
        <v>15.7</v>
      </c>
      <c r="L109" s="66">
        <v>14.5</v>
      </c>
      <c r="M109" s="72">
        <v>14.5</v>
      </c>
      <c r="N109" s="67">
        <v>10.6</v>
      </c>
      <c r="O109" s="68">
        <v>8.5</v>
      </c>
      <c r="P109" s="66">
        <v>10.9</v>
      </c>
      <c r="Q109" s="72">
        <v>10.9</v>
      </c>
      <c r="R109" s="67">
        <v>7.7</v>
      </c>
      <c r="S109" s="68">
        <v>5.9</v>
      </c>
      <c r="T109" s="20">
        <v>1011</v>
      </c>
      <c r="U109" s="137"/>
      <c r="V109" s="137"/>
      <c r="W109" s="137"/>
      <c r="X109" s="137"/>
      <c r="Y109" s="137"/>
      <c r="Z109" s="65"/>
      <c r="AA109" s="65"/>
      <c r="AB109" s="65"/>
      <c r="AC109" s="65"/>
      <c r="AD109" s="137"/>
      <c r="AE109" s="137"/>
      <c r="AF109" s="137"/>
      <c r="AG109" s="137"/>
      <c r="AH109" s="137"/>
      <c r="AI109" s="137"/>
      <c r="AJ109" s="137"/>
      <c r="AK109" s="20"/>
      <c r="AL109" s="20"/>
      <c r="AM109" s="20"/>
      <c r="AN109" s="20"/>
      <c r="AO109" s="20"/>
      <c r="AP109" s="142"/>
      <c r="AQ109" s="142"/>
    </row>
    <row r="110" spans="1:43" x14ac:dyDescent="0.2">
      <c r="A110" s="126" t="str">
        <f t="shared" si="21"/>
        <v/>
      </c>
      <c r="B110" s="65"/>
      <c r="C110" s="381"/>
      <c r="D110" s="30" t="s">
        <v>28</v>
      </c>
      <c r="E110" s="31"/>
      <c r="F110" s="31" t="s">
        <v>29</v>
      </c>
      <c r="G110" s="34" t="s">
        <v>29</v>
      </c>
      <c r="H110" s="30">
        <v>17.5</v>
      </c>
      <c r="I110" s="72">
        <v>17.5</v>
      </c>
      <c r="J110" s="67">
        <v>13.9</v>
      </c>
      <c r="K110" s="68">
        <v>12</v>
      </c>
      <c r="L110" s="66">
        <v>10</v>
      </c>
      <c r="M110" s="72">
        <v>10</v>
      </c>
      <c r="N110" s="67">
        <v>7</v>
      </c>
      <c r="O110" s="68">
        <v>5.4</v>
      </c>
      <c r="P110" s="66">
        <v>7.2</v>
      </c>
      <c r="Q110" s="72">
        <v>7.2</v>
      </c>
      <c r="R110" s="67">
        <v>4.5999999999999996</v>
      </c>
      <c r="S110" s="68">
        <v>3.3</v>
      </c>
      <c r="T110" s="20">
        <v>1101</v>
      </c>
      <c r="U110" s="137"/>
      <c r="V110" s="137"/>
      <c r="W110" s="137"/>
      <c r="X110" s="137"/>
      <c r="Y110" s="137"/>
      <c r="Z110" s="65"/>
      <c r="AA110" s="65"/>
      <c r="AB110" s="65"/>
      <c r="AC110" s="65"/>
      <c r="AD110" s="137"/>
      <c r="AE110" s="137"/>
      <c r="AF110" s="137"/>
      <c r="AG110" s="137"/>
      <c r="AH110" s="137"/>
      <c r="AI110" s="137"/>
      <c r="AJ110" s="137"/>
      <c r="AK110" s="20"/>
      <c r="AL110" s="20"/>
      <c r="AM110" s="20"/>
      <c r="AN110" s="20"/>
      <c r="AO110" s="20"/>
      <c r="AP110" s="142"/>
      <c r="AQ110" s="142"/>
    </row>
    <row r="111" spans="1:43" x14ac:dyDescent="0.2">
      <c r="A111" s="126" t="str">
        <f t="shared" si="21"/>
        <v/>
      </c>
      <c r="C111" s="386"/>
      <c r="D111" s="30" t="s">
        <v>29</v>
      </c>
      <c r="E111" s="31" t="s">
        <v>29</v>
      </c>
      <c r="F111" s="31" t="s">
        <v>29</v>
      </c>
      <c r="G111" s="34" t="s">
        <v>29</v>
      </c>
      <c r="H111" s="30">
        <v>25.1</v>
      </c>
      <c r="I111" s="72">
        <v>25.1</v>
      </c>
      <c r="J111" s="67">
        <v>20</v>
      </c>
      <c r="K111" s="68">
        <v>17.2</v>
      </c>
      <c r="L111" s="66">
        <v>16.3</v>
      </c>
      <c r="M111" s="72">
        <v>16.3</v>
      </c>
      <c r="N111" s="67">
        <v>12</v>
      </c>
      <c r="O111" s="68">
        <v>9.6999999999999993</v>
      </c>
      <c r="P111" s="66">
        <v>12.5</v>
      </c>
      <c r="Q111" s="72">
        <v>12.5</v>
      </c>
      <c r="R111" s="67">
        <v>8.9</v>
      </c>
      <c r="S111" s="68">
        <v>6.9</v>
      </c>
      <c r="T111" s="20">
        <v>1111</v>
      </c>
      <c r="U111" s="137"/>
      <c r="V111" s="137"/>
      <c r="W111" s="137"/>
      <c r="X111" s="137"/>
      <c r="Y111" s="137"/>
      <c r="Z111" s="65"/>
      <c r="AA111" s="65"/>
      <c r="AB111" s="65"/>
      <c r="AC111" s="65"/>
      <c r="AD111" s="137"/>
      <c r="AE111" s="137"/>
      <c r="AF111" s="137"/>
      <c r="AG111" s="137"/>
      <c r="AH111" s="137"/>
      <c r="AI111" s="137"/>
      <c r="AJ111" s="137"/>
      <c r="AK111" s="20"/>
      <c r="AL111" s="20"/>
      <c r="AM111" s="20"/>
      <c r="AN111" s="20"/>
      <c r="AO111" s="20"/>
      <c r="AP111" s="142"/>
      <c r="AQ111" s="142"/>
    </row>
    <row r="112" spans="1:43" x14ac:dyDescent="0.2">
      <c r="A112" s="126" t="str">
        <f>IF($AJ$77=$T112,"★","")</f>
        <v/>
      </c>
      <c r="B112" s="65" t="s">
        <v>61</v>
      </c>
      <c r="C112" s="380" t="e">
        <f>'様式１ー２　費用等明細'!$AA$16</f>
        <v>#NUM!</v>
      </c>
      <c r="D112" s="30" t="s">
        <v>29</v>
      </c>
      <c r="E112" s="31"/>
      <c r="F112" s="31"/>
      <c r="G112" s="34"/>
      <c r="H112" s="30">
        <v>14.8</v>
      </c>
      <c r="I112" s="72">
        <v>14.8</v>
      </c>
      <c r="J112" s="67">
        <v>12</v>
      </c>
      <c r="K112" s="68">
        <v>9.4</v>
      </c>
      <c r="L112" s="66">
        <v>10.3</v>
      </c>
      <c r="M112" s="72">
        <v>10.3</v>
      </c>
      <c r="N112" s="67">
        <v>7.8</v>
      </c>
      <c r="O112" s="68">
        <v>8.6999999999999993</v>
      </c>
      <c r="P112" s="66">
        <v>9</v>
      </c>
      <c r="Q112" s="72">
        <v>9</v>
      </c>
      <c r="R112" s="67">
        <v>6.7</v>
      </c>
      <c r="S112" s="68">
        <v>7.7</v>
      </c>
      <c r="T112" s="20">
        <v>1</v>
      </c>
      <c r="U112" s="128"/>
      <c r="V112" s="137"/>
      <c r="W112" s="137"/>
      <c r="X112" s="137"/>
      <c r="Y112" s="137"/>
      <c r="Z112" s="65"/>
      <c r="AA112" s="65"/>
      <c r="AB112" s="65"/>
      <c r="AC112" s="65"/>
      <c r="AD112" s="137"/>
      <c r="AE112" s="137"/>
      <c r="AF112" s="137"/>
      <c r="AG112" s="137"/>
      <c r="AH112" s="137"/>
      <c r="AI112" s="137"/>
      <c r="AJ112" s="137"/>
      <c r="AK112" s="20"/>
      <c r="AL112" s="20"/>
      <c r="AM112" s="20"/>
      <c r="AN112" s="20"/>
      <c r="AO112" s="20"/>
      <c r="AP112" s="142"/>
      <c r="AQ112" s="142"/>
    </row>
    <row r="113" spans="1:43" x14ac:dyDescent="0.2">
      <c r="A113" s="126" t="str">
        <f t="shared" ref="A113:A119" si="22">IF($AJ$77=$T113,"★","")</f>
        <v/>
      </c>
      <c r="B113" s="65"/>
      <c r="C113" s="381"/>
      <c r="D113" s="30" t="s">
        <v>29</v>
      </c>
      <c r="E113" s="31" t="s">
        <v>29</v>
      </c>
      <c r="F113" s="31"/>
      <c r="G113" s="34"/>
      <c r="H113" s="30">
        <v>20.6</v>
      </c>
      <c r="I113" s="72">
        <v>20.6</v>
      </c>
      <c r="J113" s="67">
        <v>16.399999999999999</v>
      </c>
      <c r="K113" s="68">
        <v>14.1</v>
      </c>
      <c r="L113" s="66">
        <v>12.5</v>
      </c>
      <c r="M113" s="72">
        <v>12.5</v>
      </c>
      <c r="N113" s="67">
        <v>9</v>
      </c>
      <c r="O113" s="68">
        <v>7.2</v>
      </c>
      <c r="P113" s="66">
        <v>9.3000000000000007</v>
      </c>
      <c r="Q113" s="72">
        <v>9.3000000000000007</v>
      </c>
      <c r="R113" s="67">
        <v>6.4</v>
      </c>
      <c r="S113" s="68">
        <v>4.8</v>
      </c>
      <c r="T113" s="20">
        <v>11</v>
      </c>
      <c r="U113" s="137"/>
      <c r="V113" s="137"/>
      <c r="W113" s="137"/>
      <c r="X113" s="137"/>
      <c r="Y113" s="137"/>
      <c r="Z113" s="65"/>
      <c r="AA113" s="65"/>
      <c r="AB113" s="65"/>
      <c r="AC113" s="65"/>
      <c r="AD113" s="137"/>
      <c r="AE113" s="137"/>
      <c r="AF113" s="137"/>
      <c r="AG113" s="137"/>
      <c r="AH113" s="137"/>
      <c r="AI113" s="137"/>
      <c r="AJ113" s="137"/>
      <c r="AK113" s="20"/>
      <c r="AL113" s="20"/>
      <c r="AM113" s="20"/>
      <c r="AN113" s="20"/>
      <c r="AO113" s="20"/>
      <c r="AP113" s="142"/>
      <c r="AQ113" s="142"/>
    </row>
    <row r="114" spans="1:43" x14ac:dyDescent="0.2">
      <c r="A114" s="126" t="str">
        <f t="shared" si="22"/>
        <v/>
      </c>
      <c r="B114" s="65"/>
      <c r="C114" s="381"/>
      <c r="D114" s="30" t="s">
        <v>29</v>
      </c>
      <c r="E114" s="31"/>
      <c r="F114" s="31" t="s">
        <v>29</v>
      </c>
      <c r="G114" s="34"/>
      <c r="H114" s="30">
        <v>15.3</v>
      </c>
      <c r="I114" s="72">
        <v>15.3</v>
      </c>
      <c r="J114" s="67">
        <v>12.2</v>
      </c>
      <c r="K114" s="68">
        <v>10.5</v>
      </c>
      <c r="L114" s="66">
        <v>8.1999999999999993</v>
      </c>
      <c r="M114" s="72">
        <v>8.1999999999999993</v>
      </c>
      <c r="N114" s="67">
        <v>5.6</v>
      </c>
      <c r="O114" s="68">
        <v>4.2</v>
      </c>
      <c r="P114" s="66">
        <v>5.6</v>
      </c>
      <c r="Q114" s="72">
        <v>5.6</v>
      </c>
      <c r="R114" s="67">
        <v>3.4</v>
      </c>
      <c r="S114" s="68">
        <v>2.2000000000000002</v>
      </c>
      <c r="T114" s="20">
        <v>101</v>
      </c>
      <c r="U114" s="137"/>
      <c r="V114" s="137"/>
      <c r="W114" s="137"/>
      <c r="X114" s="137"/>
      <c r="Y114" s="137"/>
      <c r="Z114" s="65"/>
      <c r="AA114" s="65"/>
      <c r="AB114" s="65"/>
      <c r="AC114" s="65"/>
      <c r="AD114" s="137"/>
      <c r="AE114" s="137"/>
      <c r="AF114" s="137"/>
      <c r="AG114" s="137"/>
      <c r="AH114" s="137"/>
      <c r="AI114" s="137"/>
      <c r="AJ114" s="137"/>
      <c r="AK114" s="20"/>
      <c r="AL114" s="20"/>
      <c r="AM114" s="20"/>
      <c r="AN114" s="20"/>
      <c r="AO114" s="20"/>
      <c r="AP114" s="142"/>
      <c r="AQ114" s="142"/>
    </row>
    <row r="115" spans="1:43" x14ac:dyDescent="0.2">
      <c r="A115" s="126" t="str">
        <f t="shared" si="22"/>
        <v/>
      </c>
      <c r="B115" s="65"/>
      <c r="C115" s="381"/>
      <c r="D115" s="30" t="s">
        <v>28</v>
      </c>
      <c r="E115" s="31"/>
      <c r="F115" s="31"/>
      <c r="G115" s="34" t="s">
        <v>29</v>
      </c>
      <c r="H115" s="30">
        <v>15.4</v>
      </c>
      <c r="I115" s="72">
        <v>15.4</v>
      </c>
      <c r="J115" s="67">
        <v>12.3</v>
      </c>
      <c r="K115" s="68">
        <v>10.6</v>
      </c>
      <c r="L115" s="66">
        <v>8.3000000000000007</v>
      </c>
      <c r="M115" s="72">
        <v>8.3000000000000007</v>
      </c>
      <c r="N115" s="67">
        <v>5.7</v>
      </c>
      <c r="O115" s="68">
        <v>4.3</v>
      </c>
      <c r="P115" s="66">
        <v>5.7</v>
      </c>
      <c r="Q115" s="72">
        <v>5.7</v>
      </c>
      <c r="R115" s="67">
        <v>3.5</v>
      </c>
      <c r="S115" s="68">
        <v>2.2999999999999998</v>
      </c>
      <c r="T115" s="20">
        <v>1001</v>
      </c>
      <c r="U115" s="137"/>
      <c r="V115" s="137"/>
      <c r="W115" s="137"/>
      <c r="X115" s="137"/>
      <c r="Y115" s="137"/>
      <c r="Z115" s="65"/>
      <c r="AA115" s="65"/>
      <c r="AB115" s="65"/>
      <c r="AC115" s="65"/>
      <c r="AD115" s="137"/>
      <c r="AE115" s="137"/>
      <c r="AF115" s="137"/>
      <c r="AG115" s="137"/>
      <c r="AH115" s="137"/>
      <c r="AI115" s="137"/>
      <c r="AJ115" s="137"/>
      <c r="AK115" s="20"/>
      <c r="AL115" s="20"/>
      <c r="AM115" s="20"/>
      <c r="AN115" s="20"/>
      <c r="AO115" s="20"/>
      <c r="AP115" s="142"/>
      <c r="AQ115" s="142"/>
    </row>
    <row r="116" spans="1:43" x14ac:dyDescent="0.2">
      <c r="A116" s="126" t="str">
        <f t="shared" si="22"/>
        <v/>
      </c>
      <c r="B116" s="65"/>
      <c r="C116" s="381"/>
      <c r="D116" s="30" t="s">
        <v>28</v>
      </c>
      <c r="E116" s="31" t="s">
        <v>29</v>
      </c>
      <c r="F116" s="31" t="s">
        <v>29</v>
      </c>
      <c r="G116" s="34"/>
      <c r="H116" s="30">
        <v>22.7</v>
      </c>
      <c r="I116" s="72">
        <v>22.7</v>
      </c>
      <c r="J116" s="67">
        <v>18.100000000000001</v>
      </c>
      <c r="K116" s="68">
        <v>15.5</v>
      </c>
      <c r="L116" s="66">
        <v>14.3</v>
      </c>
      <c r="M116" s="72">
        <v>14.3</v>
      </c>
      <c r="N116" s="67">
        <v>10.4</v>
      </c>
      <c r="O116" s="68">
        <v>8.4</v>
      </c>
      <c r="P116" s="66">
        <v>10.8</v>
      </c>
      <c r="Q116" s="72">
        <v>10.8</v>
      </c>
      <c r="R116" s="67">
        <v>7.5</v>
      </c>
      <c r="S116" s="68">
        <v>5.8</v>
      </c>
      <c r="T116" s="20">
        <v>111</v>
      </c>
      <c r="U116" s="137"/>
      <c r="V116" s="137"/>
      <c r="W116" s="137"/>
      <c r="X116" s="137"/>
      <c r="Y116" s="137"/>
      <c r="Z116" s="65"/>
      <c r="AA116" s="65"/>
      <c r="AB116" s="65"/>
      <c r="AC116" s="65"/>
      <c r="AD116" s="137"/>
      <c r="AE116" s="137"/>
      <c r="AF116" s="137"/>
      <c r="AG116" s="137"/>
      <c r="AH116" s="137"/>
      <c r="AI116" s="137"/>
      <c r="AJ116" s="137"/>
      <c r="AK116" s="20"/>
      <c r="AL116" s="20"/>
      <c r="AM116" s="20"/>
      <c r="AN116" s="20"/>
      <c r="AO116" s="20"/>
      <c r="AP116" s="142"/>
      <c r="AQ116" s="142"/>
    </row>
    <row r="117" spans="1:43" x14ac:dyDescent="0.2">
      <c r="A117" s="126" t="str">
        <f t="shared" si="22"/>
        <v/>
      </c>
      <c r="B117" s="65"/>
      <c r="C117" s="381"/>
      <c r="D117" s="30" t="s">
        <v>28</v>
      </c>
      <c r="E117" s="31" t="s">
        <v>29</v>
      </c>
      <c r="F117" s="31"/>
      <c r="G117" s="34" t="s">
        <v>29</v>
      </c>
      <c r="H117" s="30">
        <v>22.9</v>
      </c>
      <c r="I117" s="72">
        <v>22.9</v>
      </c>
      <c r="J117" s="67">
        <v>18.2</v>
      </c>
      <c r="K117" s="68">
        <v>15.7</v>
      </c>
      <c r="L117" s="66">
        <v>14.5</v>
      </c>
      <c r="M117" s="72">
        <v>14.5</v>
      </c>
      <c r="N117" s="67">
        <v>10.6</v>
      </c>
      <c r="O117" s="68">
        <v>8.5</v>
      </c>
      <c r="P117" s="66">
        <v>10.9</v>
      </c>
      <c r="Q117" s="72">
        <v>10.9</v>
      </c>
      <c r="R117" s="67">
        <v>7.7</v>
      </c>
      <c r="S117" s="68">
        <v>5.9</v>
      </c>
      <c r="T117" s="20">
        <v>1011</v>
      </c>
      <c r="U117" s="137"/>
      <c r="V117" s="137"/>
      <c r="W117" s="137"/>
      <c r="X117" s="137"/>
      <c r="Y117" s="137"/>
      <c r="Z117" s="65"/>
      <c r="AA117" s="65"/>
      <c r="AB117" s="65"/>
      <c r="AC117" s="65"/>
      <c r="AD117" s="137"/>
      <c r="AE117" s="137"/>
      <c r="AF117" s="137"/>
      <c r="AG117" s="137"/>
      <c r="AH117" s="137"/>
      <c r="AI117" s="137"/>
      <c r="AJ117" s="137"/>
      <c r="AK117" s="20"/>
      <c r="AL117" s="20"/>
      <c r="AM117" s="20"/>
      <c r="AN117" s="20"/>
      <c r="AO117" s="20"/>
      <c r="AP117" s="142"/>
      <c r="AQ117" s="142"/>
    </row>
    <row r="118" spans="1:43" x14ac:dyDescent="0.2">
      <c r="A118" s="126" t="str">
        <f t="shared" si="22"/>
        <v/>
      </c>
      <c r="B118" s="65"/>
      <c r="C118" s="381"/>
      <c r="D118" s="30" t="s">
        <v>28</v>
      </c>
      <c r="E118" s="31"/>
      <c r="F118" s="31" t="s">
        <v>29</v>
      </c>
      <c r="G118" s="34" t="s">
        <v>29</v>
      </c>
      <c r="H118" s="30">
        <v>17.5</v>
      </c>
      <c r="I118" s="72">
        <v>17.5</v>
      </c>
      <c r="J118" s="67">
        <v>13.9</v>
      </c>
      <c r="K118" s="68">
        <v>12</v>
      </c>
      <c r="L118" s="66">
        <v>10</v>
      </c>
      <c r="M118" s="72">
        <v>10</v>
      </c>
      <c r="N118" s="67">
        <v>7</v>
      </c>
      <c r="O118" s="68">
        <v>5.4</v>
      </c>
      <c r="P118" s="66">
        <v>7.2</v>
      </c>
      <c r="Q118" s="72">
        <v>7.2</v>
      </c>
      <c r="R118" s="67">
        <v>4.5999999999999996</v>
      </c>
      <c r="S118" s="68">
        <v>3.3</v>
      </c>
      <c r="T118" s="20">
        <v>1101</v>
      </c>
      <c r="U118" s="137"/>
      <c r="V118" s="137"/>
      <c r="W118" s="137"/>
      <c r="X118" s="137"/>
      <c r="Y118" s="137"/>
      <c r="Z118" s="65"/>
      <c r="AA118" s="65"/>
      <c r="AB118" s="65"/>
      <c r="AC118" s="65"/>
      <c r="AD118" s="137"/>
      <c r="AE118" s="137"/>
      <c r="AF118" s="137"/>
      <c r="AG118" s="137"/>
      <c r="AH118" s="137"/>
      <c r="AI118" s="137"/>
      <c r="AJ118" s="137"/>
      <c r="AK118" s="20"/>
      <c r="AL118" s="20"/>
      <c r="AM118" s="20"/>
      <c r="AN118" s="20"/>
      <c r="AO118" s="20"/>
      <c r="AP118" s="142"/>
      <c r="AQ118" s="142"/>
    </row>
    <row r="119" spans="1:43" x14ac:dyDescent="0.2">
      <c r="A119" s="126" t="str">
        <f t="shared" si="22"/>
        <v/>
      </c>
      <c r="B119" s="65"/>
      <c r="C119" s="386"/>
      <c r="D119" s="30" t="s">
        <v>29</v>
      </c>
      <c r="E119" s="31" t="s">
        <v>29</v>
      </c>
      <c r="F119" s="31" t="s">
        <v>29</v>
      </c>
      <c r="G119" s="34" t="s">
        <v>29</v>
      </c>
      <c r="H119" s="30">
        <v>25.1</v>
      </c>
      <c r="I119" s="72">
        <v>25.1</v>
      </c>
      <c r="J119" s="67">
        <v>20</v>
      </c>
      <c r="K119" s="68">
        <v>17.2</v>
      </c>
      <c r="L119" s="66">
        <v>16.3</v>
      </c>
      <c r="M119" s="72">
        <v>16.3</v>
      </c>
      <c r="N119" s="67">
        <v>12</v>
      </c>
      <c r="O119" s="68">
        <v>9.6999999999999993</v>
      </c>
      <c r="P119" s="66">
        <v>12.5</v>
      </c>
      <c r="Q119" s="72">
        <v>12.5</v>
      </c>
      <c r="R119" s="67">
        <v>8.9</v>
      </c>
      <c r="S119" s="68">
        <v>6.9</v>
      </c>
      <c r="T119" s="20">
        <v>1111</v>
      </c>
      <c r="U119" s="137"/>
      <c r="V119" s="137"/>
      <c r="W119" s="137"/>
      <c r="X119" s="137"/>
      <c r="Y119" s="137"/>
      <c r="Z119" s="65"/>
      <c r="AA119" s="65"/>
      <c r="AB119" s="65"/>
      <c r="AC119" s="65"/>
      <c r="AD119" s="137"/>
      <c r="AE119" s="137"/>
      <c r="AF119" s="137"/>
      <c r="AG119" s="137"/>
      <c r="AH119" s="137"/>
      <c r="AI119" s="137"/>
      <c r="AJ119" s="137"/>
      <c r="AK119" s="20"/>
      <c r="AL119" s="20"/>
      <c r="AM119" s="20"/>
      <c r="AN119" s="20"/>
      <c r="AO119" s="20"/>
      <c r="AP119" s="142"/>
      <c r="AQ119" s="142"/>
    </row>
    <row r="120" spans="1:43" x14ac:dyDescent="0.2">
      <c r="A120" s="126" t="str">
        <f>IF($AJ$78=$T120,"★","")</f>
        <v/>
      </c>
      <c r="B120" s="65" t="s">
        <v>71</v>
      </c>
      <c r="C120" s="380" t="e">
        <f>'様式１ー２　費用等明細'!$AA$17</f>
        <v>#NUM!</v>
      </c>
      <c r="D120" s="30" t="s">
        <v>29</v>
      </c>
      <c r="E120" s="31"/>
      <c r="F120" s="31"/>
      <c r="G120" s="34"/>
      <c r="H120" s="30">
        <v>14.8</v>
      </c>
      <c r="I120" s="72">
        <v>14.8</v>
      </c>
      <c r="J120" s="67">
        <v>12</v>
      </c>
      <c r="K120" s="68">
        <v>9.4</v>
      </c>
      <c r="L120" s="66">
        <v>10.3</v>
      </c>
      <c r="M120" s="72">
        <v>10.3</v>
      </c>
      <c r="N120" s="67">
        <v>7.8</v>
      </c>
      <c r="O120" s="68">
        <v>8.6999999999999993</v>
      </c>
      <c r="P120" s="66">
        <v>9</v>
      </c>
      <c r="Q120" s="72">
        <v>9</v>
      </c>
      <c r="R120" s="67">
        <v>6.7</v>
      </c>
      <c r="S120" s="68">
        <v>7.7</v>
      </c>
      <c r="T120" s="20">
        <v>1</v>
      </c>
      <c r="U120" s="128"/>
      <c r="V120" s="137"/>
      <c r="W120" s="137"/>
      <c r="X120" s="137"/>
      <c r="Y120" s="137"/>
      <c r="Z120" s="65"/>
      <c r="AA120" s="65"/>
      <c r="AB120" s="65"/>
      <c r="AC120" s="65"/>
      <c r="AD120" s="137"/>
      <c r="AE120" s="137"/>
      <c r="AF120" s="137"/>
      <c r="AG120" s="137"/>
      <c r="AH120" s="137"/>
      <c r="AI120" s="137"/>
      <c r="AJ120" s="137"/>
      <c r="AK120" s="20"/>
      <c r="AL120" s="20"/>
      <c r="AM120" s="20"/>
      <c r="AN120" s="20"/>
      <c r="AO120" s="20"/>
      <c r="AP120" s="142"/>
      <c r="AQ120" s="142"/>
    </row>
    <row r="121" spans="1:43" x14ac:dyDescent="0.2">
      <c r="A121" s="126" t="str">
        <f t="shared" ref="A121:A127" si="23">IF($AJ$78=$T121,"★","")</f>
        <v/>
      </c>
      <c r="B121" s="65"/>
      <c r="C121" s="381"/>
      <c r="D121" s="30" t="s">
        <v>29</v>
      </c>
      <c r="E121" s="31" t="s">
        <v>29</v>
      </c>
      <c r="F121" s="31"/>
      <c r="G121" s="34"/>
      <c r="H121" s="30">
        <v>20.6</v>
      </c>
      <c r="I121" s="72">
        <v>20.6</v>
      </c>
      <c r="J121" s="67">
        <v>16.399999999999999</v>
      </c>
      <c r="K121" s="68">
        <v>14.1</v>
      </c>
      <c r="L121" s="66">
        <v>12.5</v>
      </c>
      <c r="M121" s="72">
        <v>12.5</v>
      </c>
      <c r="N121" s="67">
        <v>9</v>
      </c>
      <c r="O121" s="68">
        <v>7.2</v>
      </c>
      <c r="P121" s="66">
        <v>9.3000000000000007</v>
      </c>
      <c r="Q121" s="72">
        <v>9.3000000000000007</v>
      </c>
      <c r="R121" s="67">
        <v>6.4</v>
      </c>
      <c r="S121" s="68">
        <v>4.8</v>
      </c>
      <c r="T121" s="20">
        <v>11</v>
      </c>
      <c r="U121" s="137"/>
      <c r="V121" s="137"/>
      <c r="W121" s="137"/>
      <c r="X121" s="137"/>
      <c r="Y121" s="137"/>
      <c r="Z121" s="65"/>
      <c r="AA121" s="65"/>
      <c r="AB121" s="65"/>
      <c r="AC121" s="65"/>
      <c r="AD121" s="137"/>
      <c r="AE121" s="137"/>
      <c r="AF121" s="137"/>
      <c r="AG121" s="137"/>
      <c r="AH121" s="137"/>
      <c r="AI121" s="137"/>
      <c r="AJ121" s="137"/>
      <c r="AK121" s="20"/>
      <c r="AL121" s="20"/>
      <c r="AM121" s="20"/>
      <c r="AN121" s="20"/>
      <c r="AO121" s="20"/>
      <c r="AP121" s="142"/>
      <c r="AQ121" s="142"/>
    </row>
    <row r="122" spans="1:43" x14ac:dyDescent="0.2">
      <c r="A122" s="126" t="str">
        <f t="shared" si="23"/>
        <v/>
      </c>
      <c r="B122" s="65"/>
      <c r="C122" s="381"/>
      <c r="D122" s="30" t="s">
        <v>29</v>
      </c>
      <c r="E122" s="31"/>
      <c r="F122" s="31" t="s">
        <v>29</v>
      </c>
      <c r="G122" s="34"/>
      <c r="H122" s="30">
        <v>15.3</v>
      </c>
      <c r="I122" s="72">
        <v>15.3</v>
      </c>
      <c r="J122" s="67">
        <v>12.2</v>
      </c>
      <c r="K122" s="68">
        <v>10.5</v>
      </c>
      <c r="L122" s="66">
        <v>8.1999999999999993</v>
      </c>
      <c r="M122" s="72">
        <v>8.1999999999999993</v>
      </c>
      <c r="N122" s="67">
        <v>5.6</v>
      </c>
      <c r="O122" s="68">
        <v>4.2</v>
      </c>
      <c r="P122" s="66">
        <v>5.6</v>
      </c>
      <c r="Q122" s="72">
        <v>5.6</v>
      </c>
      <c r="R122" s="67">
        <v>3.4</v>
      </c>
      <c r="S122" s="68">
        <v>2.2000000000000002</v>
      </c>
      <c r="T122" s="20">
        <v>101</v>
      </c>
      <c r="U122" s="137"/>
      <c r="V122" s="137"/>
      <c r="W122" s="137"/>
      <c r="X122" s="137"/>
      <c r="Y122" s="137"/>
      <c r="Z122" s="65"/>
      <c r="AA122" s="65"/>
      <c r="AB122" s="65"/>
      <c r="AC122" s="65"/>
      <c r="AD122" s="137"/>
      <c r="AE122" s="137"/>
      <c r="AF122" s="137"/>
      <c r="AG122" s="137"/>
      <c r="AH122" s="137"/>
      <c r="AI122" s="137"/>
      <c r="AJ122" s="137"/>
      <c r="AK122" s="20"/>
      <c r="AL122" s="20"/>
      <c r="AM122" s="20"/>
      <c r="AN122" s="20"/>
      <c r="AO122" s="20"/>
      <c r="AP122" s="142"/>
      <c r="AQ122" s="142"/>
    </row>
    <row r="123" spans="1:43" x14ac:dyDescent="0.2">
      <c r="A123" s="126" t="str">
        <f t="shared" si="23"/>
        <v/>
      </c>
      <c r="B123" s="65"/>
      <c r="C123" s="381"/>
      <c r="D123" s="30" t="s">
        <v>28</v>
      </c>
      <c r="E123" s="31"/>
      <c r="F123" s="31"/>
      <c r="G123" s="34" t="s">
        <v>29</v>
      </c>
      <c r="H123" s="30">
        <v>15.4</v>
      </c>
      <c r="I123" s="72">
        <v>15.4</v>
      </c>
      <c r="J123" s="67">
        <v>12.3</v>
      </c>
      <c r="K123" s="68">
        <v>10.6</v>
      </c>
      <c r="L123" s="66">
        <v>8.3000000000000007</v>
      </c>
      <c r="M123" s="72">
        <v>8.3000000000000007</v>
      </c>
      <c r="N123" s="67">
        <v>5.7</v>
      </c>
      <c r="O123" s="68">
        <v>4.3</v>
      </c>
      <c r="P123" s="66">
        <v>5.7</v>
      </c>
      <c r="Q123" s="72">
        <v>5.7</v>
      </c>
      <c r="R123" s="67">
        <v>3.5</v>
      </c>
      <c r="S123" s="68">
        <v>2.2999999999999998</v>
      </c>
      <c r="T123" s="20">
        <v>1001</v>
      </c>
      <c r="U123" s="137"/>
      <c r="V123" s="137"/>
      <c r="W123" s="137"/>
      <c r="X123" s="137"/>
      <c r="Y123" s="137"/>
      <c r="Z123" s="65"/>
      <c r="AA123" s="65"/>
      <c r="AB123" s="65"/>
      <c r="AC123" s="65"/>
      <c r="AD123" s="137"/>
      <c r="AE123" s="137"/>
      <c r="AF123" s="137"/>
      <c r="AG123" s="137"/>
      <c r="AH123" s="137"/>
      <c r="AI123" s="137"/>
      <c r="AJ123" s="137"/>
      <c r="AK123" s="20"/>
      <c r="AL123" s="20"/>
      <c r="AM123" s="20"/>
      <c r="AN123" s="20"/>
      <c r="AO123" s="20"/>
      <c r="AP123" s="142"/>
      <c r="AQ123" s="142"/>
    </row>
    <row r="124" spans="1:43" x14ac:dyDescent="0.2">
      <c r="A124" s="126" t="str">
        <f t="shared" si="23"/>
        <v/>
      </c>
      <c r="B124" s="65"/>
      <c r="C124" s="381"/>
      <c r="D124" s="30" t="s">
        <v>28</v>
      </c>
      <c r="E124" s="31" t="s">
        <v>29</v>
      </c>
      <c r="F124" s="31" t="s">
        <v>29</v>
      </c>
      <c r="G124" s="34"/>
      <c r="H124" s="30">
        <v>22.7</v>
      </c>
      <c r="I124" s="72">
        <v>22.7</v>
      </c>
      <c r="J124" s="67">
        <v>18.100000000000001</v>
      </c>
      <c r="K124" s="68">
        <v>15.5</v>
      </c>
      <c r="L124" s="66">
        <v>14.3</v>
      </c>
      <c r="M124" s="72">
        <v>14.3</v>
      </c>
      <c r="N124" s="67">
        <v>10.4</v>
      </c>
      <c r="O124" s="68">
        <v>8.4</v>
      </c>
      <c r="P124" s="66">
        <v>10.8</v>
      </c>
      <c r="Q124" s="72">
        <v>10.8</v>
      </c>
      <c r="R124" s="67">
        <v>7.5</v>
      </c>
      <c r="S124" s="68">
        <v>5.8</v>
      </c>
      <c r="T124" s="20">
        <v>111</v>
      </c>
      <c r="U124" s="137"/>
      <c r="V124" s="137"/>
      <c r="W124" s="137"/>
      <c r="X124" s="137"/>
      <c r="Y124" s="137"/>
      <c r="Z124" s="65"/>
      <c r="AA124" s="65"/>
      <c r="AB124" s="65"/>
      <c r="AC124" s="65"/>
      <c r="AD124" s="137"/>
      <c r="AE124" s="137"/>
      <c r="AF124" s="137"/>
      <c r="AG124" s="137"/>
      <c r="AH124" s="137"/>
      <c r="AI124" s="137"/>
      <c r="AJ124" s="137"/>
      <c r="AK124" s="20"/>
      <c r="AL124" s="20"/>
      <c r="AM124" s="20"/>
      <c r="AN124" s="20"/>
      <c r="AO124" s="20"/>
      <c r="AP124" s="142"/>
      <c r="AQ124" s="142"/>
    </row>
    <row r="125" spans="1:43" x14ac:dyDescent="0.2">
      <c r="A125" s="126" t="str">
        <f t="shared" si="23"/>
        <v/>
      </c>
      <c r="B125" s="65"/>
      <c r="C125" s="381"/>
      <c r="D125" s="30" t="s">
        <v>28</v>
      </c>
      <c r="E125" s="31" t="s">
        <v>29</v>
      </c>
      <c r="F125" s="31"/>
      <c r="G125" s="34" t="s">
        <v>29</v>
      </c>
      <c r="H125" s="30">
        <v>22.9</v>
      </c>
      <c r="I125" s="72">
        <v>22.9</v>
      </c>
      <c r="J125" s="67">
        <v>18.2</v>
      </c>
      <c r="K125" s="68">
        <v>15.7</v>
      </c>
      <c r="L125" s="66">
        <v>14.5</v>
      </c>
      <c r="M125" s="72">
        <v>14.5</v>
      </c>
      <c r="N125" s="67">
        <v>10.6</v>
      </c>
      <c r="O125" s="68">
        <v>8.5</v>
      </c>
      <c r="P125" s="66">
        <v>10.9</v>
      </c>
      <c r="Q125" s="72">
        <v>10.9</v>
      </c>
      <c r="R125" s="67">
        <v>7.7</v>
      </c>
      <c r="S125" s="68">
        <v>5.9</v>
      </c>
      <c r="T125" s="20">
        <v>1011</v>
      </c>
      <c r="U125" s="137"/>
      <c r="V125" s="137"/>
      <c r="W125" s="137"/>
      <c r="X125" s="137"/>
      <c r="Y125" s="137"/>
      <c r="Z125" s="65"/>
      <c r="AA125" s="65"/>
      <c r="AB125" s="65"/>
      <c r="AC125" s="65"/>
      <c r="AD125" s="137"/>
      <c r="AE125" s="137"/>
      <c r="AF125" s="137"/>
      <c r="AG125" s="137"/>
      <c r="AH125" s="137"/>
      <c r="AI125" s="137"/>
      <c r="AJ125" s="137"/>
      <c r="AK125" s="20"/>
      <c r="AL125" s="20"/>
      <c r="AM125" s="20"/>
      <c r="AN125" s="20"/>
      <c r="AO125" s="20"/>
      <c r="AP125" s="142"/>
      <c r="AQ125" s="142"/>
    </row>
    <row r="126" spans="1:43" x14ac:dyDescent="0.2">
      <c r="A126" s="126" t="str">
        <f t="shared" si="23"/>
        <v/>
      </c>
      <c r="B126" s="65"/>
      <c r="C126" s="381"/>
      <c r="D126" s="30" t="s">
        <v>28</v>
      </c>
      <c r="E126" s="31"/>
      <c r="F126" s="31" t="s">
        <v>29</v>
      </c>
      <c r="G126" s="32" t="s">
        <v>29</v>
      </c>
      <c r="H126" s="30">
        <v>17.5</v>
      </c>
      <c r="I126" s="72">
        <v>17.5</v>
      </c>
      <c r="J126" s="67">
        <v>13.9</v>
      </c>
      <c r="K126" s="68">
        <v>12</v>
      </c>
      <c r="L126" s="66">
        <v>10</v>
      </c>
      <c r="M126" s="72">
        <v>10</v>
      </c>
      <c r="N126" s="67">
        <v>7</v>
      </c>
      <c r="O126" s="68">
        <v>5.4</v>
      </c>
      <c r="P126" s="66">
        <v>7.2</v>
      </c>
      <c r="Q126" s="72">
        <v>7.2</v>
      </c>
      <c r="R126" s="67">
        <v>4.5999999999999996</v>
      </c>
      <c r="S126" s="68">
        <v>3.3</v>
      </c>
      <c r="T126" s="20">
        <v>1101</v>
      </c>
      <c r="U126" s="137"/>
      <c r="V126" s="137"/>
      <c r="W126" s="137"/>
      <c r="X126" s="137"/>
      <c r="Y126" s="137"/>
      <c r="Z126" s="65"/>
      <c r="AA126" s="65"/>
      <c r="AB126" s="65"/>
      <c r="AC126" s="65"/>
      <c r="AD126" s="137"/>
      <c r="AE126" s="137"/>
      <c r="AF126" s="137"/>
      <c r="AG126" s="137"/>
      <c r="AH126" s="137"/>
      <c r="AI126" s="137"/>
      <c r="AJ126" s="137"/>
      <c r="AK126" s="20"/>
      <c r="AL126" s="20"/>
      <c r="AM126" s="20"/>
      <c r="AN126" s="20"/>
      <c r="AO126" s="20"/>
      <c r="AP126" s="142"/>
      <c r="AQ126" s="142"/>
    </row>
    <row r="127" spans="1:43" x14ac:dyDescent="0.2">
      <c r="A127" s="126" t="str">
        <f t="shared" si="23"/>
        <v/>
      </c>
      <c r="C127" s="386"/>
      <c r="D127" s="30" t="s">
        <v>29</v>
      </c>
      <c r="E127" s="31" t="s">
        <v>29</v>
      </c>
      <c r="F127" s="31" t="s">
        <v>29</v>
      </c>
      <c r="G127" s="32" t="s">
        <v>29</v>
      </c>
      <c r="H127" s="30">
        <v>25.1</v>
      </c>
      <c r="I127" s="72">
        <v>25.1</v>
      </c>
      <c r="J127" s="67">
        <v>20</v>
      </c>
      <c r="K127" s="68">
        <v>17.2</v>
      </c>
      <c r="L127" s="66">
        <v>16.3</v>
      </c>
      <c r="M127" s="72">
        <v>16.3</v>
      </c>
      <c r="N127" s="67">
        <v>12</v>
      </c>
      <c r="O127" s="68">
        <v>9.6999999999999993</v>
      </c>
      <c r="P127" s="66">
        <v>12.5</v>
      </c>
      <c r="Q127" s="72">
        <v>12.5</v>
      </c>
      <c r="R127" s="67">
        <v>8.9</v>
      </c>
      <c r="S127" s="68">
        <v>6.9</v>
      </c>
      <c r="T127" s="20">
        <v>1111</v>
      </c>
      <c r="U127" s="137"/>
      <c r="V127" s="137"/>
      <c r="W127" s="137"/>
      <c r="X127" s="137"/>
      <c r="Y127" s="137"/>
      <c r="Z127" s="65"/>
      <c r="AA127" s="65"/>
      <c r="AB127" s="65"/>
      <c r="AC127" s="65"/>
      <c r="AD127" s="137"/>
      <c r="AE127" s="137"/>
      <c r="AF127" s="137"/>
      <c r="AG127" s="137"/>
      <c r="AH127" s="137"/>
      <c r="AI127" s="137"/>
      <c r="AJ127" s="137"/>
      <c r="AK127" s="20"/>
      <c r="AL127" s="20"/>
      <c r="AM127" s="20"/>
      <c r="AN127" s="20"/>
      <c r="AO127" s="20"/>
      <c r="AP127" s="142"/>
      <c r="AQ127" s="142"/>
    </row>
    <row r="128" spans="1:43" x14ac:dyDescent="0.2">
      <c r="A128" s="126" t="str">
        <f>IF($AJ$79=$T128,"★","")</f>
        <v/>
      </c>
      <c r="B128" s="65" t="s">
        <v>72</v>
      </c>
      <c r="C128" s="380" t="e">
        <f>'様式１ー２　費用等明細'!$AA$18</f>
        <v>#NUM!</v>
      </c>
      <c r="D128" s="30" t="s">
        <v>29</v>
      </c>
      <c r="E128" s="31"/>
      <c r="F128" s="31"/>
      <c r="G128" s="32"/>
      <c r="H128" s="30">
        <v>14.8</v>
      </c>
      <c r="I128" s="72">
        <v>14.8</v>
      </c>
      <c r="J128" s="67">
        <v>12</v>
      </c>
      <c r="K128" s="68">
        <v>9.4</v>
      </c>
      <c r="L128" s="66">
        <v>10.3</v>
      </c>
      <c r="M128" s="72">
        <v>10.3</v>
      </c>
      <c r="N128" s="67">
        <v>7.8</v>
      </c>
      <c r="O128" s="68">
        <v>8.6999999999999993</v>
      </c>
      <c r="P128" s="66">
        <v>9</v>
      </c>
      <c r="Q128" s="72">
        <v>9</v>
      </c>
      <c r="R128" s="67">
        <v>6.7</v>
      </c>
      <c r="S128" s="68">
        <v>7.7</v>
      </c>
      <c r="T128" s="20">
        <v>1</v>
      </c>
      <c r="U128" s="128"/>
      <c r="V128" s="137"/>
      <c r="W128" s="137"/>
      <c r="X128" s="137"/>
      <c r="Y128" s="137"/>
      <c r="Z128" s="65"/>
      <c r="AA128" s="65"/>
      <c r="AB128" s="65"/>
      <c r="AC128" s="65"/>
      <c r="AD128" s="137"/>
      <c r="AE128" s="137"/>
      <c r="AF128" s="137"/>
      <c r="AG128" s="137"/>
      <c r="AH128" s="137"/>
      <c r="AI128" s="137"/>
      <c r="AJ128" s="137"/>
      <c r="AK128" s="20"/>
      <c r="AL128" s="20"/>
      <c r="AM128" s="20"/>
      <c r="AN128" s="20"/>
      <c r="AO128" s="20"/>
      <c r="AP128" s="142"/>
      <c r="AQ128" s="142"/>
    </row>
    <row r="129" spans="1:55" x14ac:dyDescent="0.2">
      <c r="A129" s="126" t="str">
        <f t="shared" ref="A129:A135" si="24">IF($AJ$79=$T129,"★","")</f>
        <v/>
      </c>
      <c r="B129" s="65"/>
      <c r="C129" s="381"/>
      <c r="D129" s="30" t="s">
        <v>29</v>
      </c>
      <c r="E129" s="31" t="s">
        <v>29</v>
      </c>
      <c r="F129" s="31"/>
      <c r="G129" s="32"/>
      <c r="H129" s="30">
        <v>20.6</v>
      </c>
      <c r="I129" s="72">
        <v>20.6</v>
      </c>
      <c r="J129" s="67">
        <v>16.399999999999999</v>
      </c>
      <c r="K129" s="68">
        <v>14.1</v>
      </c>
      <c r="L129" s="66">
        <v>12.5</v>
      </c>
      <c r="M129" s="72">
        <v>12.5</v>
      </c>
      <c r="N129" s="67">
        <v>9</v>
      </c>
      <c r="O129" s="68">
        <v>7.2</v>
      </c>
      <c r="P129" s="66">
        <v>9.3000000000000007</v>
      </c>
      <c r="Q129" s="72">
        <v>9.3000000000000007</v>
      </c>
      <c r="R129" s="67">
        <v>6.4</v>
      </c>
      <c r="S129" s="68">
        <v>4.8</v>
      </c>
      <c r="T129" s="20">
        <v>11</v>
      </c>
      <c r="U129" s="137"/>
      <c r="V129" s="137"/>
      <c r="W129" s="137"/>
      <c r="X129" s="137"/>
      <c r="Y129" s="137"/>
      <c r="Z129" s="65"/>
      <c r="AA129" s="65"/>
      <c r="AB129" s="65"/>
      <c r="AC129" s="65"/>
      <c r="AD129" s="137"/>
      <c r="AE129" s="137"/>
      <c r="AF129" s="137"/>
      <c r="AG129" s="137"/>
      <c r="AH129" s="137"/>
      <c r="AI129" s="137"/>
      <c r="AJ129" s="137"/>
      <c r="AK129" s="20"/>
      <c r="AL129" s="20"/>
      <c r="AM129" s="20"/>
      <c r="AN129" s="20"/>
      <c r="AO129" s="20"/>
      <c r="AP129" s="142"/>
      <c r="AQ129" s="142"/>
    </row>
    <row r="130" spans="1:55" x14ac:dyDescent="0.2">
      <c r="A130" s="126" t="str">
        <f t="shared" si="24"/>
        <v/>
      </c>
      <c r="B130" s="65"/>
      <c r="C130" s="381"/>
      <c r="D130" s="30" t="s">
        <v>29</v>
      </c>
      <c r="E130" s="31"/>
      <c r="F130" s="31" t="s">
        <v>29</v>
      </c>
      <c r="G130" s="32"/>
      <c r="H130" s="30">
        <v>15.3</v>
      </c>
      <c r="I130" s="72">
        <v>15.3</v>
      </c>
      <c r="J130" s="67">
        <v>12.2</v>
      </c>
      <c r="K130" s="68">
        <v>10.5</v>
      </c>
      <c r="L130" s="66">
        <v>8.1999999999999993</v>
      </c>
      <c r="M130" s="72">
        <v>8.1999999999999993</v>
      </c>
      <c r="N130" s="67">
        <v>5.6</v>
      </c>
      <c r="O130" s="68">
        <v>4.2</v>
      </c>
      <c r="P130" s="66">
        <v>5.6</v>
      </c>
      <c r="Q130" s="72">
        <v>5.6</v>
      </c>
      <c r="R130" s="67">
        <v>3.4</v>
      </c>
      <c r="S130" s="68">
        <v>2.2000000000000002</v>
      </c>
      <c r="T130" s="20">
        <v>101</v>
      </c>
      <c r="U130" s="137"/>
      <c r="V130" s="137"/>
      <c r="W130" s="137"/>
      <c r="X130" s="137"/>
      <c r="Y130" s="137"/>
      <c r="Z130" s="65"/>
      <c r="AA130" s="65"/>
      <c r="AB130" s="65"/>
      <c r="AC130" s="65"/>
      <c r="AD130" s="137"/>
      <c r="AE130" s="137"/>
      <c r="AF130" s="137"/>
      <c r="AG130" s="137"/>
      <c r="AH130" s="137"/>
      <c r="AI130" s="137"/>
      <c r="AJ130" s="137"/>
      <c r="AK130" s="20"/>
      <c r="AL130" s="20"/>
      <c r="AM130" s="20"/>
      <c r="AN130" s="20"/>
      <c r="AO130" s="20"/>
      <c r="AP130" s="142"/>
      <c r="AQ130" s="142"/>
    </row>
    <row r="131" spans="1:55" x14ac:dyDescent="0.2">
      <c r="A131" s="126" t="str">
        <f t="shared" si="24"/>
        <v/>
      </c>
      <c r="B131" s="65"/>
      <c r="C131" s="381"/>
      <c r="D131" s="30" t="s">
        <v>28</v>
      </c>
      <c r="E131" s="31"/>
      <c r="F131" s="31"/>
      <c r="G131" s="32" t="s">
        <v>29</v>
      </c>
      <c r="H131" s="30">
        <v>15.4</v>
      </c>
      <c r="I131" s="72">
        <v>15.4</v>
      </c>
      <c r="J131" s="67">
        <v>12.3</v>
      </c>
      <c r="K131" s="68">
        <v>10.6</v>
      </c>
      <c r="L131" s="66">
        <v>8.3000000000000007</v>
      </c>
      <c r="M131" s="72">
        <v>8.3000000000000007</v>
      </c>
      <c r="N131" s="67">
        <v>5.7</v>
      </c>
      <c r="O131" s="68">
        <v>4.3</v>
      </c>
      <c r="P131" s="66">
        <v>5.7</v>
      </c>
      <c r="Q131" s="72">
        <v>5.7</v>
      </c>
      <c r="R131" s="67">
        <v>3.5</v>
      </c>
      <c r="S131" s="68">
        <v>2.2999999999999998</v>
      </c>
      <c r="T131" s="20">
        <v>1001</v>
      </c>
      <c r="U131" s="137"/>
      <c r="V131" s="137"/>
      <c r="W131" s="137"/>
      <c r="X131" s="137"/>
      <c r="Y131" s="137"/>
      <c r="Z131" s="65"/>
      <c r="AA131" s="65"/>
      <c r="AB131" s="65"/>
      <c r="AC131" s="65"/>
      <c r="AD131" s="137"/>
      <c r="AE131" s="137"/>
      <c r="AF131" s="137"/>
      <c r="AG131" s="137"/>
      <c r="AH131" s="137"/>
      <c r="AI131" s="137"/>
      <c r="AJ131" s="137"/>
      <c r="AK131" s="20"/>
      <c r="AL131" s="20"/>
      <c r="AM131" s="20"/>
      <c r="AN131" s="20"/>
      <c r="AO131" s="20"/>
      <c r="AP131" s="142"/>
      <c r="AQ131" s="142"/>
    </row>
    <row r="132" spans="1:55" x14ac:dyDescent="0.2">
      <c r="A132" s="126" t="str">
        <f t="shared" si="24"/>
        <v/>
      </c>
      <c r="B132" s="65"/>
      <c r="C132" s="381"/>
      <c r="D132" s="30" t="s">
        <v>28</v>
      </c>
      <c r="E132" s="31" t="s">
        <v>29</v>
      </c>
      <c r="F132" s="31" t="s">
        <v>29</v>
      </c>
      <c r="G132" s="32"/>
      <c r="H132" s="30">
        <v>22.7</v>
      </c>
      <c r="I132" s="72">
        <v>22.7</v>
      </c>
      <c r="J132" s="67">
        <v>18.100000000000001</v>
      </c>
      <c r="K132" s="68">
        <v>15.5</v>
      </c>
      <c r="L132" s="66">
        <v>14.3</v>
      </c>
      <c r="M132" s="72">
        <v>14.3</v>
      </c>
      <c r="N132" s="67">
        <v>10.4</v>
      </c>
      <c r="O132" s="68">
        <v>8.4</v>
      </c>
      <c r="P132" s="66">
        <v>10.8</v>
      </c>
      <c r="Q132" s="72">
        <v>10.8</v>
      </c>
      <c r="R132" s="67">
        <v>7.5</v>
      </c>
      <c r="S132" s="68">
        <v>5.8</v>
      </c>
      <c r="T132" s="20">
        <v>111</v>
      </c>
      <c r="U132" s="137"/>
      <c r="V132" s="137"/>
      <c r="W132" s="137"/>
      <c r="X132" s="137"/>
      <c r="Y132" s="137"/>
      <c r="Z132" s="65"/>
      <c r="AA132" s="65"/>
      <c r="AB132" s="65"/>
      <c r="AC132" s="65"/>
      <c r="AD132" s="137"/>
      <c r="AE132" s="137"/>
      <c r="AF132" s="137"/>
      <c r="AG132" s="137"/>
      <c r="AH132" s="137"/>
      <c r="AI132" s="137"/>
      <c r="AJ132" s="137"/>
      <c r="AK132" s="20"/>
      <c r="AL132" s="20"/>
      <c r="AM132" s="20"/>
      <c r="AN132" s="20"/>
      <c r="AO132" s="20"/>
      <c r="AP132" s="142"/>
      <c r="AQ132" s="142"/>
    </row>
    <row r="133" spans="1:55" x14ac:dyDescent="0.2">
      <c r="A133" s="126" t="str">
        <f t="shared" si="24"/>
        <v/>
      </c>
      <c r="B133" s="65"/>
      <c r="C133" s="381"/>
      <c r="D133" s="30" t="s">
        <v>28</v>
      </c>
      <c r="E133" s="31" t="s">
        <v>29</v>
      </c>
      <c r="F133" s="31"/>
      <c r="G133" s="32" t="s">
        <v>29</v>
      </c>
      <c r="H133" s="30">
        <v>22.9</v>
      </c>
      <c r="I133" s="72">
        <v>22.9</v>
      </c>
      <c r="J133" s="67">
        <v>18.2</v>
      </c>
      <c r="K133" s="68">
        <v>15.7</v>
      </c>
      <c r="L133" s="66">
        <v>14.5</v>
      </c>
      <c r="M133" s="72">
        <v>14.5</v>
      </c>
      <c r="N133" s="67">
        <v>10.6</v>
      </c>
      <c r="O133" s="68">
        <v>8.5</v>
      </c>
      <c r="P133" s="66">
        <v>10.9</v>
      </c>
      <c r="Q133" s="72">
        <v>10.9</v>
      </c>
      <c r="R133" s="67">
        <v>7.7</v>
      </c>
      <c r="S133" s="68">
        <v>5.9</v>
      </c>
      <c r="T133" s="20">
        <v>1011</v>
      </c>
      <c r="U133" s="137"/>
      <c r="V133" s="137"/>
      <c r="W133" s="137"/>
      <c r="X133" s="137"/>
      <c r="Y133" s="137"/>
      <c r="Z133" s="65"/>
      <c r="AA133" s="65"/>
      <c r="AB133" s="65"/>
      <c r="AC133" s="65"/>
      <c r="AD133" s="137"/>
      <c r="AE133" s="137"/>
      <c r="AF133" s="137"/>
      <c r="AG133" s="137"/>
      <c r="AH133" s="137"/>
      <c r="AI133" s="137"/>
      <c r="AJ133" s="137"/>
      <c r="AK133" s="20"/>
      <c r="AL133" s="20"/>
      <c r="AM133" s="20"/>
      <c r="AN133" s="20"/>
      <c r="AO133" s="20"/>
      <c r="AP133" s="142"/>
      <c r="AQ133" s="142"/>
    </row>
    <row r="134" spans="1:55" x14ac:dyDescent="0.2">
      <c r="A134" s="126" t="str">
        <f t="shared" si="24"/>
        <v/>
      </c>
      <c r="B134" s="65"/>
      <c r="C134" s="381"/>
      <c r="D134" s="30" t="s">
        <v>28</v>
      </c>
      <c r="E134" s="31"/>
      <c r="F134" s="31" t="s">
        <v>29</v>
      </c>
      <c r="G134" s="32" t="s">
        <v>29</v>
      </c>
      <c r="H134" s="30">
        <v>17.5</v>
      </c>
      <c r="I134" s="72">
        <v>17.5</v>
      </c>
      <c r="J134" s="67">
        <v>13.9</v>
      </c>
      <c r="K134" s="68">
        <v>12</v>
      </c>
      <c r="L134" s="66">
        <v>10</v>
      </c>
      <c r="M134" s="72">
        <v>10</v>
      </c>
      <c r="N134" s="67">
        <v>7</v>
      </c>
      <c r="O134" s="68">
        <v>5.4</v>
      </c>
      <c r="P134" s="66">
        <v>7.2</v>
      </c>
      <c r="Q134" s="72">
        <v>7.2</v>
      </c>
      <c r="R134" s="67">
        <v>4.5999999999999996</v>
      </c>
      <c r="S134" s="68">
        <v>3.3</v>
      </c>
      <c r="T134" s="20">
        <v>1101</v>
      </c>
      <c r="U134" s="137"/>
      <c r="V134" s="137"/>
      <c r="W134" s="137"/>
      <c r="X134" s="137"/>
      <c r="Y134" s="137"/>
      <c r="Z134" s="65"/>
      <c r="AA134" s="65"/>
      <c r="AB134" s="65"/>
      <c r="AC134" s="65"/>
      <c r="AD134" s="137"/>
      <c r="AE134" s="137"/>
      <c r="AF134" s="137"/>
      <c r="AG134" s="137"/>
      <c r="AH134" s="137"/>
      <c r="AI134" s="137"/>
      <c r="AJ134" s="137"/>
      <c r="AK134" s="20"/>
      <c r="AL134" s="20"/>
      <c r="AM134" s="20"/>
      <c r="AN134" s="20"/>
      <c r="AO134" s="20"/>
      <c r="AP134" s="142"/>
      <c r="AQ134" s="142"/>
    </row>
    <row r="135" spans="1:55" x14ac:dyDescent="0.2">
      <c r="A135" s="126" t="str">
        <f t="shared" si="24"/>
        <v/>
      </c>
      <c r="C135" s="386"/>
      <c r="D135" s="30" t="s">
        <v>29</v>
      </c>
      <c r="E135" s="31" t="s">
        <v>29</v>
      </c>
      <c r="F135" s="31" t="s">
        <v>29</v>
      </c>
      <c r="G135" s="32" t="s">
        <v>29</v>
      </c>
      <c r="H135" s="30">
        <v>25.1</v>
      </c>
      <c r="I135" s="72">
        <v>25.1</v>
      </c>
      <c r="J135" s="67">
        <v>20</v>
      </c>
      <c r="K135" s="68">
        <v>17.2</v>
      </c>
      <c r="L135" s="66">
        <v>16.3</v>
      </c>
      <c r="M135" s="72">
        <v>16.3</v>
      </c>
      <c r="N135" s="67">
        <v>12</v>
      </c>
      <c r="O135" s="68">
        <v>9.6999999999999993</v>
      </c>
      <c r="P135" s="66">
        <v>12.5</v>
      </c>
      <c r="Q135" s="72">
        <v>12.5</v>
      </c>
      <c r="R135" s="67">
        <v>8.9</v>
      </c>
      <c r="S135" s="68">
        <v>6.9</v>
      </c>
      <c r="T135" s="20">
        <v>1111</v>
      </c>
      <c r="U135" s="137"/>
      <c r="V135" s="137"/>
      <c r="W135" s="137"/>
      <c r="X135" s="137"/>
      <c r="Y135" s="137"/>
      <c r="Z135" s="65"/>
      <c r="AA135" s="65"/>
      <c r="AB135" s="65"/>
      <c r="AC135" s="65"/>
      <c r="AD135" s="137"/>
      <c r="AE135" s="137"/>
      <c r="AF135" s="137"/>
      <c r="AG135" s="137"/>
      <c r="AH135" s="137"/>
      <c r="AI135" s="137"/>
      <c r="AJ135" s="137"/>
      <c r="AK135" s="20"/>
      <c r="AL135" s="20"/>
      <c r="AM135" s="20"/>
      <c r="AN135" s="20"/>
      <c r="AO135" s="20"/>
      <c r="AP135" s="142"/>
      <c r="AQ135" s="142"/>
    </row>
    <row r="136" spans="1:55" x14ac:dyDescent="0.2">
      <c r="T136" s="137"/>
      <c r="U136" s="137"/>
      <c r="V136" s="137"/>
      <c r="W136" s="137"/>
      <c r="X136" s="137"/>
      <c r="Y136" s="137"/>
      <c r="Z136" s="137"/>
      <c r="AA136" s="137"/>
      <c r="AB136" s="137"/>
      <c r="AC136" s="137"/>
      <c r="AD136" s="137"/>
      <c r="AE136" s="137"/>
      <c r="AF136" s="137"/>
      <c r="AG136" s="137"/>
      <c r="AH136" s="137"/>
      <c r="AI136" s="137"/>
      <c r="AJ136" s="137"/>
      <c r="AK136" s="20"/>
      <c r="AL136" s="20"/>
      <c r="AM136" s="20"/>
      <c r="AN136" s="20"/>
      <c r="AO136" s="20"/>
      <c r="AP136" s="142"/>
      <c r="AQ136" s="142"/>
    </row>
    <row r="137" spans="1:55" x14ac:dyDescent="0.2">
      <c r="T137" s="137"/>
      <c r="U137" s="137"/>
      <c r="V137" s="137"/>
      <c r="W137" s="137"/>
      <c r="X137" s="137"/>
      <c r="Y137" s="137"/>
      <c r="Z137" s="137"/>
      <c r="AA137" s="137"/>
      <c r="AB137" s="137"/>
      <c r="AC137" s="137"/>
      <c r="AD137" s="137"/>
      <c r="AE137" s="137"/>
      <c r="AF137" s="137"/>
      <c r="AG137" s="137"/>
      <c r="AH137" s="137"/>
      <c r="AI137" s="137"/>
      <c r="AJ137" s="137"/>
      <c r="AK137" s="20"/>
      <c r="AL137" s="20"/>
      <c r="AM137" s="20"/>
      <c r="AN137" s="20"/>
      <c r="AO137" s="20"/>
      <c r="AP137" s="142"/>
      <c r="AQ137" s="142"/>
    </row>
    <row r="138" spans="1:55" x14ac:dyDescent="0.2">
      <c r="T138" s="137"/>
      <c r="U138" s="137"/>
      <c r="V138" s="137"/>
      <c r="W138" s="137"/>
      <c r="X138" s="137"/>
      <c r="Y138" s="137"/>
      <c r="Z138" s="137"/>
      <c r="AA138" s="137"/>
      <c r="AB138" s="137"/>
      <c r="AC138" s="137"/>
      <c r="AD138" s="137"/>
      <c r="AE138" s="137"/>
      <c r="AF138" s="137"/>
      <c r="AG138" s="137"/>
      <c r="AH138" s="137"/>
      <c r="AI138" s="137"/>
      <c r="AJ138" s="137"/>
      <c r="AK138" s="20"/>
      <c r="AL138" s="20"/>
      <c r="AM138" s="20"/>
      <c r="AN138" s="20"/>
      <c r="AO138" s="20"/>
      <c r="AP138" s="142"/>
      <c r="AQ138" s="142"/>
    </row>
    <row r="139" spans="1:55" s="145" customForma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S139" s="143"/>
      <c r="AT139" s="143"/>
      <c r="AU139" s="143"/>
      <c r="AV139" s="143"/>
      <c r="AW139" s="143"/>
      <c r="AX139" s="143"/>
      <c r="AY139" s="143"/>
      <c r="AZ139" s="143"/>
      <c r="BA139" s="143"/>
      <c r="BB139" s="143"/>
      <c r="BC139" s="143"/>
    </row>
    <row r="140" spans="1:55" s="145" customFormat="1" x14ac:dyDescent="0.2">
      <c r="A140" s="1"/>
      <c r="B140" s="1" t="s">
        <v>213</v>
      </c>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S140" s="143"/>
      <c r="AT140" s="143"/>
      <c r="AU140" s="143"/>
      <c r="AV140" s="143"/>
      <c r="AW140" s="143"/>
      <c r="AX140" s="143"/>
      <c r="AY140" s="143"/>
      <c r="AZ140" s="143"/>
      <c r="BA140" s="143"/>
      <c r="BB140" s="143"/>
      <c r="BC140" s="143"/>
    </row>
    <row r="141" spans="1:55" s="145" customForma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S141" s="143"/>
      <c r="AT141" s="143"/>
      <c r="AU141" s="143"/>
      <c r="AV141" s="143"/>
      <c r="AW141" s="143"/>
      <c r="AX141" s="143"/>
      <c r="AY141" s="143"/>
      <c r="AZ141" s="143"/>
      <c r="BA141" s="143"/>
      <c r="BB141" s="143"/>
      <c r="BC141" s="143"/>
    </row>
    <row r="142" spans="1:55" s="145" customFormat="1" x14ac:dyDescent="0.2">
      <c r="A142" s="1"/>
      <c r="B142" s="1"/>
      <c r="C142" s="1"/>
      <c r="D142" s="1"/>
      <c r="E142" s="1"/>
      <c r="F142" s="1"/>
      <c r="G142" s="1"/>
      <c r="H142" s="1"/>
      <c r="I142" s="1"/>
      <c r="J142" s="1"/>
      <c r="N142" s="1"/>
      <c r="O142" s="335" t="s">
        <v>214</v>
      </c>
      <c r="P142" s="1" t="s">
        <v>215</v>
      </c>
      <c r="Q142" s="3" t="s">
        <v>363</v>
      </c>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S142" s="143"/>
      <c r="AT142" s="143"/>
      <c r="AU142" s="143"/>
      <c r="AV142" s="143"/>
      <c r="AW142" s="143"/>
      <c r="AX142" s="143"/>
      <c r="AY142" s="143"/>
      <c r="AZ142" s="143"/>
      <c r="BA142" s="143"/>
      <c r="BB142" s="143"/>
      <c r="BC142" s="143"/>
    </row>
    <row r="143" spans="1:55" s="145" customFormat="1" x14ac:dyDescent="0.2">
      <c r="A143" s="1"/>
      <c r="B143" s="1"/>
      <c r="C143" s="147"/>
      <c r="D143" s="131" t="str">
        <f>判定!$L10</f>
        <v>太陽熱利用システム</v>
      </c>
      <c r="E143" s="132"/>
      <c r="F143" s="132"/>
      <c r="G143" s="132"/>
      <c r="H143" s="132"/>
      <c r="I143" s="132"/>
      <c r="J143" s="132"/>
      <c r="K143" s="336"/>
      <c r="L143" s="336"/>
      <c r="M143" s="336"/>
      <c r="N143" s="133"/>
      <c r="O143" s="147">
        <v>370</v>
      </c>
      <c r="P143" s="147">
        <f>IF(COUNTIF('様式１ー２　費用等明細'!$D:$D,計算!$D143)&gt;0,1,0)</f>
        <v>0</v>
      </c>
      <c r="Q143" s="147">
        <f t="shared" ref="Q143:Q153" si="25">O143*P143</f>
        <v>0</v>
      </c>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S143" s="143"/>
      <c r="AT143" s="143"/>
      <c r="AU143" s="143"/>
      <c r="AV143" s="143"/>
      <c r="AW143" s="143"/>
      <c r="AX143" s="143"/>
      <c r="AY143" s="143"/>
      <c r="AZ143" s="143"/>
      <c r="BA143" s="143"/>
      <c r="BB143" s="143"/>
      <c r="BC143" s="143"/>
    </row>
    <row r="144" spans="1:55" s="145" customFormat="1" x14ac:dyDescent="0.2">
      <c r="A144" s="1"/>
      <c r="B144" s="1"/>
      <c r="C144" s="147"/>
      <c r="D144" s="131" t="str">
        <f>判定!$L11</f>
        <v>高断熱浴槽</v>
      </c>
      <c r="E144" s="132"/>
      <c r="F144" s="132"/>
      <c r="G144" s="132"/>
      <c r="H144" s="132"/>
      <c r="I144" s="132"/>
      <c r="J144" s="132"/>
      <c r="K144" s="336"/>
      <c r="L144" s="336"/>
      <c r="M144" s="336"/>
      <c r="N144" s="133"/>
      <c r="O144" s="147">
        <v>55</v>
      </c>
      <c r="P144" s="147">
        <f>IF(COUNTIF('様式１ー２　費用等明細'!$D:$D,計算!$D144)&gt;0,1,0)</f>
        <v>0</v>
      </c>
      <c r="Q144" s="147">
        <f t="shared" si="25"/>
        <v>0</v>
      </c>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S144" s="143"/>
      <c r="AT144" s="143"/>
      <c r="AU144" s="143"/>
      <c r="AV144" s="143"/>
      <c r="AW144" s="143"/>
      <c r="AX144" s="143"/>
      <c r="AY144" s="143"/>
      <c r="AZ144" s="143"/>
      <c r="BA144" s="143"/>
      <c r="BB144" s="143"/>
      <c r="BC144" s="143"/>
    </row>
    <row r="145" spans="1:55" s="145" customFormat="1" x14ac:dyDescent="0.2">
      <c r="A145" s="1"/>
      <c r="B145" s="1"/>
      <c r="C145" s="382" t="s">
        <v>212</v>
      </c>
      <c r="D145" s="131" t="str">
        <f>判定!$L12</f>
        <v>エコキュート</v>
      </c>
      <c r="E145" s="132"/>
      <c r="F145" s="132"/>
      <c r="G145" s="132"/>
      <c r="H145" s="132"/>
      <c r="I145" s="132"/>
      <c r="J145" s="132"/>
      <c r="K145" s="336"/>
      <c r="L145" s="336"/>
      <c r="M145" s="336"/>
      <c r="N145" s="133"/>
      <c r="O145" s="147">
        <v>660</v>
      </c>
      <c r="P145" s="147">
        <f>IF(COUNTIF('様式１ー２　費用等明細'!$D:$D,計算!$D145)&gt;0,1,0)</f>
        <v>0</v>
      </c>
      <c r="Q145" s="147">
        <f t="shared" si="25"/>
        <v>0</v>
      </c>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S145" s="143"/>
      <c r="AT145" s="143"/>
      <c r="AU145" s="143"/>
      <c r="AV145" s="143"/>
      <c r="AW145" s="143"/>
      <c r="AX145" s="143"/>
      <c r="AY145" s="143"/>
      <c r="AZ145" s="143"/>
      <c r="BA145" s="143"/>
      <c r="BB145" s="143"/>
      <c r="BC145" s="143"/>
    </row>
    <row r="146" spans="1:55" s="145" customFormat="1" x14ac:dyDescent="0.2">
      <c r="A146" s="1"/>
      <c r="B146" s="1"/>
      <c r="C146" s="383"/>
      <c r="D146" s="131" t="str">
        <f>判定!$L13</f>
        <v>エコジョーズ</v>
      </c>
      <c r="E146" s="132"/>
      <c r="F146" s="132"/>
      <c r="G146" s="132"/>
      <c r="H146" s="132"/>
      <c r="I146" s="132"/>
      <c r="J146" s="132"/>
      <c r="K146" s="336"/>
      <c r="L146" s="336"/>
      <c r="M146" s="336"/>
      <c r="N146" s="133"/>
      <c r="O146" s="147">
        <v>230</v>
      </c>
      <c r="P146" s="147">
        <f>IF(COUNTIF('様式１ー２　費用等明細'!$D:$D,計算!$D146)&gt;0,1,0)</f>
        <v>0</v>
      </c>
      <c r="Q146" s="147">
        <f>O146*P146</f>
        <v>0</v>
      </c>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S146" s="143"/>
      <c r="AT146" s="143"/>
      <c r="AU146" s="143"/>
      <c r="AV146" s="143"/>
      <c r="AW146" s="143"/>
      <c r="AX146" s="143"/>
      <c r="AY146" s="143"/>
      <c r="AZ146" s="143"/>
      <c r="BA146" s="143"/>
      <c r="BB146" s="143"/>
      <c r="BC146" s="143"/>
    </row>
    <row r="147" spans="1:55" s="145" customFormat="1" x14ac:dyDescent="0.2">
      <c r="A147" s="1"/>
      <c r="B147" s="1"/>
      <c r="C147" s="383"/>
      <c r="D147" s="131" t="str">
        <f>判定!$L14</f>
        <v>エコフィール</v>
      </c>
      <c r="E147" s="132"/>
      <c r="F147" s="132"/>
      <c r="G147" s="132"/>
      <c r="H147" s="132"/>
      <c r="I147" s="132"/>
      <c r="J147" s="132"/>
      <c r="K147" s="336"/>
      <c r="L147" s="336"/>
      <c r="M147" s="336"/>
      <c r="N147" s="133"/>
      <c r="O147" s="147">
        <v>190</v>
      </c>
      <c r="P147" s="147">
        <f>IF(COUNTIF('様式１ー２　費用等明細'!$D:$D,計算!$D147)&gt;0,1,0)</f>
        <v>0</v>
      </c>
      <c r="Q147" s="147">
        <f t="shared" si="25"/>
        <v>0</v>
      </c>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S147" s="143"/>
      <c r="AT147" s="143"/>
      <c r="AU147" s="143"/>
      <c r="AV147" s="143"/>
      <c r="AW147" s="143"/>
      <c r="AX147" s="143"/>
      <c r="AY147" s="143"/>
      <c r="AZ147" s="143"/>
      <c r="BA147" s="143"/>
      <c r="BB147" s="143"/>
      <c r="BC147" s="143"/>
    </row>
    <row r="148" spans="1:55" s="145" customFormat="1" x14ac:dyDescent="0.2">
      <c r="A148" s="1"/>
      <c r="B148" s="1"/>
      <c r="C148" s="384"/>
      <c r="D148" s="131" t="str">
        <f>判定!$L15</f>
        <v>ヒートポンプ・ガス瞬間式併用型給湯機</v>
      </c>
      <c r="E148" s="132"/>
      <c r="F148" s="132"/>
      <c r="G148" s="132"/>
      <c r="H148" s="132"/>
      <c r="I148" s="132"/>
      <c r="J148" s="132"/>
      <c r="K148" s="336"/>
      <c r="L148" s="336"/>
      <c r="M148" s="336"/>
      <c r="N148" s="133"/>
      <c r="O148" s="147">
        <v>690</v>
      </c>
      <c r="P148" s="147">
        <f>IF(COUNTIF('様式１ー２　費用等明細'!$D:$D,計算!$D148)&gt;0,1,0)</f>
        <v>0</v>
      </c>
      <c r="Q148" s="147">
        <f t="shared" si="25"/>
        <v>0</v>
      </c>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S148" s="143"/>
      <c r="AT148" s="143"/>
      <c r="AU148" s="143"/>
      <c r="AV148" s="143"/>
      <c r="AW148" s="143"/>
      <c r="AX148" s="143"/>
      <c r="AY148" s="143"/>
      <c r="AZ148" s="143"/>
      <c r="BA148" s="143"/>
      <c r="BB148" s="143"/>
      <c r="BC148" s="143"/>
    </row>
    <row r="149" spans="1:55" s="145" customFormat="1" x14ac:dyDescent="0.2">
      <c r="A149" s="1"/>
      <c r="B149" s="1"/>
      <c r="C149" s="147"/>
      <c r="D149" s="131" t="str">
        <f>判定!$L16</f>
        <v>節湯水栓【浴室シャワー水栓以外】</v>
      </c>
      <c r="E149" s="132"/>
      <c r="F149" s="132"/>
      <c r="G149" s="132"/>
      <c r="H149" s="132"/>
      <c r="I149" s="132"/>
      <c r="J149" s="132"/>
      <c r="K149" s="336"/>
      <c r="L149" s="336"/>
      <c r="M149" s="336"/>
      <c r="N149" s="133"/>
      <c r="O149" s="147">
        <v>140</v>
      </c>
      <c r="P149" s="147">
        <f>IF(COUNTIF('様式１ー２　費用等明細'!$D:$D,計算!$D149)&gt;0,1,0)</f>
        <v>0</v>
      </c>
      <c r="Q149" s="147">
        <f t="shared" si="25"/>
        <v>0</v>
      </c>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S149" s="143"/>
      <c r="AT149" s="143"/>
      <c r="AU149" s="143"/>
      <c r="AV149" s="143"/>
      <c r="AW149" s="143"/>
      <c r="AX149" s="143"/>
      <c r="AY149" s="143"/>
      <c r="AZ149" s="143"/>
      <c r="BA149" s="143"/>
      <c r="BB149" s="143"/>
      <c r="BC149" s="143"/>
    </row>
    <row r="150" spans="1:55" s="145" customFormat="1" x14ac:dyDescent="0.2">
      <c r="A150" s="1"/>
      <c r="B150" s="1"/>
      <c r="C150" s="147"/>
      <c r="D150" s="131" t="str">
        <f>判定!$L17</f>
        <v>節湯水栓【浴室シャワー水栓】</v>
      </c>
      <c r="E150" s="132"/>
      <c r="F150" s="132"/>
      <c r="G150" s="132"/>
      <c r="H150" s="132"/>
      <c r="I150" s="132"/>
      <c r="J150" s="132"/>
      <c r="K150" s="336"/>
      <c r="L150" s="336"/>
      <c r="M150" s="336"/>
      <c r="N150" s="133"/>
      <c r="O150" s="147"/>
      <c r="P150" s="147">
        <f>COUNTIF('様式１ー２　費用等明細'!$D:$D,計算!$D150)</f>
        <v>0</v>
      </c>
      <c r="Q150" s="147">
        <f t="shared" si="25"/>
        <v>0</v>
      </c>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S150" s="143"/>
      <c r="AT150" s="143"/>
      <c r="AU150" s="143"/>
      <c r="AV150" s="143"/>
      <c r="AW150" s="143"/>
      <c r="AX150" s="143"/>
      <c r="AY150" s="143"/>
      <c r="AZ150" s="143"/>
      <c r="BA150" s="143"/>
      <c r="BB150" s="143"/>
      <c r="BC150" s="143"/>
    </row>
    <row r="151" spans="1:55" s="145" customFormat="1" x14ac:dyDescent="0.2">
      <c r="A151" s="1"/>
      <c r="B151" s="1"/>
      <c r="C151" s="147"/>
      <c r="D151" s="131" t="str">
        <f>判定!$L18</f>
        <v>コージェネレーション設備［一式］</v>
      </c>
      <c r="E151" s="132"/>
      <c r="F151" s="132"/>
      <c r="G151" s="132"/>
      <c r="H151" s="132"/>
      <c r="I151" s="132"/>
      <c r="J151" s="132"/>
      <c r="K151" s="336"/>
      <c r="L151" s="336"/>
      <c r="M151" s="336"/>
      <c r="N151" s="133"/>
      <c r="O151" s="147">
        <v>1200</v>
      </c>
      <c r="P151" s="147">
        <f>IF(COUNTIF('様式１ー２　費用等明細'!$D:$D,計算!$D151)&gt;0,1,0)</f>
        <v>0</v>
      </c>
      <c r="Q151" s="147">
        <f t="shared" si="25"/>
        <v>0</v>
      </c>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S151" s="143"/>
      <c r="AT151" s="143"/>
      <c r="AU151" s="143"/>
      <c r="AV151" s="143"/>
      <c r="AW151" s="143"/>
      <c r="AX151" s="143"/>
      <c r="AY151" s="143"/>
      <c r="AZ151" s="143"/>
      <c r="BA151" s="143"/>
      <c r="BB151" s="143"/>
      <c r="BC151" s="143"/>
    </row>
    <row r="152" spans="1:55" s="145" customFormat="1" x14ac:dyDescent="0.2">
      <c r="A152" s="1"/>
      <c r="B152" s="1"/>
      <c r="C152" s="147"/>
      <c r="D152" s="131" t="str">
        <f>判定!$L19</f>
        <v>蓄電池</v>
      </c>
      <c r="E152" s="132"/>
      <c r="F152" s="132"/>
      <c r="G152" s="132"/>
      <c r="H152" s="132"/>
      <c r="I152" s="132"/>
      <c r="J152" s="132"/>
      <c r="K152" s="336"/>
      <c r="L152" s="336"/>
      <c r="M152" s="336"/>
      <c r="N152" s="133"/>
      <c r="O152" s="147"/>
      <c r="P152" s="147">
        <f>IF(COUNTIF('様式１ー２　費用等明細'!$D:$D,計算!$D152)&gt;0,1,0)</f>
        <v>0</v>
      </c>
      <c r="Q152" s="147">
        <f t="shared" si="25"/>
        <v>0</v>
      </c>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S152" s="143"/>
      <c r="AT152" s="143"/>
      <c r="AU152" s="143"/>
      <c r="AV152" s="143"/>
      <c r="AW152" s="143"/>
      <c r="AX152" s="143"/>
      <c r="AY152" s="143"/>
      <c r="AZ152" s="143"/>
      <c r="BA152" s="143"/>
      <c r="BB152" s="143"/>
      <c r="BC152" s="143"/>
    </row>
    <row r="153" spans="1:55" s="145" customFormat="1" ht="14.5" thickBot="1" x14ac:dyDescent="0.25">
      <c r="A153" s="1"/>
      <c r="B153" s="1"/>
      <c r="C153" s="147"/>
      <c r="D153" s="131" t="str">
        <f>判定!$L20</f>
        <v>LED照明［一式］</v>
      </c>
      <c r="E153" s="132"/>
      <c r="F153" s="132"/>
      <c r="G153" s="132"/>
      <c r="H153" s="132"/>
      <c r="I153" s="132"/>
      <c r="J153" s="132"/>
      <c r="K153" s="336"/>
      <c r="L153" s="336"/>
      <c r="M153" s="336"/>
      <c r="N153" s="133"/>
      <c r="O153" s="147">
        <v>45</v>
      </c>
      <c r="P153" s="147">
        <f>IF(COUNTIF('様式１ー２　費用等明細'!$D:$D,計算!$D153)&gt;0,1,0)</f>
        <v>0</v>
      </c>
      <c r="Q153" s="148">
        <f t="shared" si="25"/>
        <v>0</v>
      </c>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S153" s="143"/>
      <c r="AT153" s="143"/>
      <c r="AU153" s="143"/>
      <c r="AV153" s="143"/>
      <c r="AW153" s="143"/>
      <c r="AX153" s="143"/>
      <c r="AY153" s="143"/>
      <c r="AZ153" s="143"/>
      <c r="BA153" s="143"/>
      <c r="BB153" s="143"/>
      <c r="BC153" s="143"/>
    </row>
    <row r="154" spans="1:55" s="145" customFormat="1" ht="14.5" thickBot="1" x14ac:dyDescent="0.25">
      <c r="A154" s="1"/>
      <c r="B154" s="1"/>
      <c r="C154" s="1"/>
      <c r="D154" s="1"/>
      <c r="E154" s="1"/>
      <c r="F154" s="1"/>
      <c r="G154" s="1"/>
      <c r="H154" s="1"/>
      <c r="I154" s="1"/>
      <c r="J154" s="1"/>
      <c r="N154" s="1"/>
      <c r="O154" s="1"/>
      <c r="P154" s="1"/>
      <c r="Q154" s="146">
        <f>SUM($Q$143:$Q$153)</f>
        <v>0</v>
      </c>
      <c r="R154" s="1" t="s">
        <v>216</v>
      </c>
      <c r="S154" s="1"/>
      <c r="T154" s="1"/>
      <c r="U154" s="1"/>
      <c r="V154" s="1"/>
      <c r="W154" s="1"/>
      <c r="X154" s="1"/>
      <c r="Y154" s="1"/>
      <c r="Z154" s="1"/>
      <c r="AA154" s="1"/>
      <c r="AB154" s="1"/>
      <c r="AC154" s="1"/>
      <c r="AD154" s="1"/>
      <c r="AE154" s="1"/>
      <c r="AF154" s="1"/>
      <c r="AG154" s="1"/>
      <c r="AH154" s="1"/>
      <c r="AI154" s="1"/>
      <c r="AJ154" s="1"/>
      <c r="AK154" s="1"/>
      <c r="AL154" s="1"/>
      <c r="AM154" s="1"/>
      <c r="AN154" s="1"/>
      <c r="AO154" s="1"/>
      <c r="AS154" s="143"/>
      <c r="AT154" s="143"/>
      <c r="AU154" s="143"/>
      <c r="AV154" s="143"/>
      <c r="AW154" s="143"/>
      <c r="AX154" s="143"/>
      <c r="AY154" s="143"/>
      <c r="AZ154" s="143"/>
      <c r="BA154" s="143"/>
      <c r="BB154" s="143"/>
      <c r="BC154" s="143"/>
    </row>
    <row r="155" spans="1:55" s="145" customForma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S155" s="143"/>
      <c r="AT155" s="143"/>
      <c r="AU155" s="143"/>
      <c r="AV155" s="143"/>
      <c r="AW155" s="143"/>
      <c r="AX155" s="143"/>
      <c r="AY155" s="143"/>
      <c r="AZ155" s="143"/>
      <c r="BA155" s="143"/>
      <c r="BB155" s="143"/>
      <c r="BC155" s="143"/>
    </row>
    <row r="156" spans="1:55" s="145" customForma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S156" s="143"/>
      <c r="AT156" s="143"/>
      <c r="AU156" s="143"/>
      <c r="AV156" s="143"/>
      <c r="AW156" s="143"/>
      <c r="AX156" s="143"/>
      <c r="AY156" s="143"/>
      <c r="AZ156" s="143"/>
      <c r="BA156" s="143"/>
      <c r="BB156" s="143"/>
      <c r="BC156" s="143"/>
    </row>
    <row r="157" spans="1:55" s="145" customForma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S157" s="143"/>
      <c r="AT157" s="143"/>
      <c r="AU157" s="143"/>
      <c r="AV157" s="143"/>
      <c r="AW157" s="143"/>
      <c r="AX157" s="143"/>
      <c r="AY157" s="143"/>
      <c r="AZ157" s="143"/>
      <c r="BA157" s="143"/>
      <c r="BB157" s="143"/>
      <c r="BC157" s="143"/>
    </row>
    <row r="158" spans="1:55" s="145" customForma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S158" s="143"/>
      <c r="AT158" s="143"/>
      <c r="AU158" s="143"/>
      <c r="AV158" s="143"/>
      <c r="AW158" s="143"/>
      <c r="AX158" s="143"/>
      <c r="AY158" s="143"/>
      <c r="AZ158" s="143"/>
      <c r="BA158" s="143"/>
      <c r="BB158" s="143"/>
      <c r="BC158" s="143"/>
    </row>
    <row r="159" spans="1:55" s="145" customForma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S159" s="143"/>
      <c r="AT159" s="143"/>
      <c r="AU159" s="143"/>
      <c r="AV159" s="143"/>
      <c r="AW159" s="143"/>
      <c r="AX159" s="143"/>
      <c r="AY159" s="143"/>
      <c r="AZ159" s="143"/>
      <c r="BA159" s="143"/>
      <c r="BB159" s="143"/>
      <c r="BC159" s="143"/>
    </row>
    <row r="160" spans="1:55" s="145" customFormat="1" x14ac:dyDescent="0.2">
      <c r="A160" s="1"/>
      <c r="B160" s="1" t="s">
        <v>219</v>
      </c>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S160" s="143"/>
      <c r="AT160" s="143"/>
      <c r="AU160" s="143"/>
      <c r="AV160" s="143"/>
      <c r="AW160" s="143"/>
      <c r="AX160" s="143"/>
      <c r="AY160" s="143"/>
      <c r="AZ160" s="143"/>
      <c r="BA160" s="143"/>
      <c r="BB160" s="143"/>
      <c r="BC160" s="143"/>
    </row>
    <row r="161" spans="1:55" s="145" customForma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S161" s="143"/>
      <c r="AT161" s="143"/>
      <c r="AU161" s="143"/>
      <c r="AV161" s="143"/>
      <c r="AW161" s="143"/>
      <c r="AX161" s="143"/>
      <c r="AY161" s="143"/>
      <c r="AZ161" s="143"/>
      <c r="BA161" s="143"/>
      <c r="BB161" s="143"/>
      <c r="BC161" s="143"/>
    </row>
    <row r="162" spans="1:55" s="145" customFormat="1" x14ac:dyDescent="0.2">
      <c r="A162" s="1"/>
      <c r="B162" s="1"/>
      <c r="C162" s="1" t="s">
        <v>217</v>
      </c>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S162" s="143"/>
      <c r="AT162" s="143"/>
      <c r="AU162" s="143"/>
      <c r="AV162" s="143"/>
      <c r="AW162" s="143"/>
      <c r="AX162" s="143"/>
      <c r="AY162" s="143"/>
      <c r="AZ162" s="143"/>
      <c r="BA162" s="143"/>
      <c r="BB162" s="143"/>
      <c r="BC162" s="143"/>
    </row>
    <row r="163" spans="1:55" s="145" customFormat="1" x14ac:dyDescent="0.2">
      <c r="A163" s="1"/>
      <c r="B163" s="1"/>
      <c r="C163" s="1" t="str">
        <f>"=　"&amp;$M$67&amp;"×0.068/1000　+　"&amp;Q154&amp;"/1000"</f>
        <v>=　0×0.068/1000　+　0/1000</v>
      </c>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S163" s="143"/>
      <c r="AT163" s="143"/>
      <c r="AU163" s="143"/>
      <c r="AV163" s="143"/>
      <c r="AW163" s="143"/>
      <c r="AX163" s="143"/>
      <c r="AY163" s="143"/>
      <c r="AZ163" s="143"/>
      <c r="BA163" s="143"/>
      <c r="BB163" s="143"/>
      <c r="BC163" s="143"/>
    </row>
    <row r="164" spans="1:55" s="145" customFormat="1" x14ac:dyDescent="0.2">
      <c r="A164" s="1"/>
      <c r="B164" s="1"/>
      <c r="C164" s="385">
        <f>M67*0.068/1000+Q154/1000</f>
        <v>0</v>
      </c>
      <c r="D164" s="385"/>
      <c r="E164" s="385"/>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S164" s="143"/>
      <c r="AT164" s="143"/>
      <c r="AU164" s="143"/>
      <c r="AV164" s="143"/>
      <c r="AW164" s="143"/>
      <c r="AX164" s="143"/>
      <c r="AY164" s="143"/>
      <c r="AZ164" s="143"/>
      <c r="BA164" s="143"/>
      <c r="BB164" s="143"/>
      <c r="BC164" s="143"/>
    </row>
    <row r="165" spans="1:55" s="145" customForma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S165" s="143"/>
      <c r="AT165" s="143"/>
      <c r="AU165" s="143"/>
      <c r="AV165" s="143"/>
      <c r="AW165" s="143"/>
      <c r="AX165" s="143"/>
      <c r="AY165" s="143"/>
      <c r="AZ165" s="143"/>
      <c r="BA165" s="143"/>
      <c r="BB165" s="143"/>
      <c r="BC165" s="143"/>
    </row>
    <row r="166" spans="1:55" s="145" customForma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S166" s="143"/>
      <c r="AT166" s="143"/>
      <c r="AU166" s="143"/>
      <c r="AV166" s="143"/>
      <c r="AW166" s="143"/>
      <c r="AX166" s="143"/>
      <c r="AY166" s="143"/>
      <c r="AZ166" s="143"/>
      <c r="BA166" s="143"/>
      <c r="BB166" s="143"/>
      <c r="BC166" s="143"/>
    </row>
  </sheetData>
  <sheetProtection selectLockedCells="1" selectUnlockedCells="1"/>
  <mergeCells count="69">
    <mergeCell ref="C145:C148"/>
    <mergeCell ref="C164:E164"/>
    <mergeCell ref="C128:C135"/>
    <mergeCell ref="C80:C87"/>
    <mergeCell ref="C88:C95"/>
    <mergeCell ref="C96:C103"/>
    <mergeCell ref="C104:C111"/>
    <mergeCell ref="C112:C119"/>
    <mergeCell ref="C120:C127"/>
    <mergeCell ref="B67:F67"/>
    <mergeCell ref="H70:K70"/>
    <mergeCell ref="L70:O70"/>
    <mergeCell ref="P70:S70"/>
    <mergeCell ref="C71:C79"/>
    <mergeCell ref="AG59:AG60"/>
    <mergeCell ref="AH59:AH60"/>
    <mergeCell ref="AI59:AI60"/>
    <mergeCell ref="AJ59:AJ60"/>
    <mergeCell ref="P59:P60"/>
    <mergeCell ref="Q59:Q60"/>
    <mergeCell ref="R59:R60"/>
    <mergeCell ref="S59:S60"/>
    <mergeCell ref="T59:T60"/>
    <mergeCell ref="AF5:AI5"/>
    <mergeCell ref="AK59:AK60"/>
    <mergeCell ref="B65:E65"/>
    <mergeCell ref="F65:AL65"/>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G59:G60"/>
    <mergeCell ref="H59:H60"/>
    <mergeCell ref="N59:N60"/>
    <mergeCell ref="J59:J60"/>
    <mergeCell ref="K59:K60"/>
    <mergeCell ref="I59:I60"/>
    <mergeCell ref="L59:L60"/>
    <mergeCell ref="M59:M60"/>
    <mergeCell ref="B59:B60"/>
    <mergeCell ref="C59:C60"/>
    <mergeCell ref="D59:D60"/>
    <mergeCell ref="E59:E60"/>
    <mergeCell ref="F59:F60"/>
    <mergeCell ref="AW5:AX5"/>
    <mergeCell ref="AY5:AZ5"/>
    <mergeCell ref="BA5:BB5"/>
    <mergeCell ref="AS5:AV5"/>
    <mergeCell ref="B4:E5"/>
    <mergeCell ref="F4:K4"/>
    <mergeCell ref="L4:W4"/>
    <mergeCell ref="P5:S5"/>
    <mergeCell ref="T5:W5"/>
    <mergeCell ref="X4:AI4"/>
    <mergeCell ref="F5:G5"/>
    <mergeCell ref="H5:I5"/>
    <mergeCell ref="J5:K5"/>
    <mergeCell ref="L5:O5"/>
    <mergeCell ref="X5:AA5"/>
    <mergeCell ref="AB5:AE5"/>
  </mergeCells>
  <phoneticPr fontId="3"/>
  <pageMargins left="0.70866141732283472" right="0.70866141732283472" top="0.74803149606299213" bottom="0.74803149606299213" header="0.31496062992125984" footer="0.31496062992125984"/>
  <pageSetup paperSize="8" scale="80" fitToHeight="2" orientation="landscape" r:id="rId1"/>
  <rowBreaks count="1" manualBreakCount="1">
    <brk id="6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AN62"/>
  <sheetViews>
    <sheetView tabSelected="1" view="pageBreakPreview" zoomScale="130" zoomScaleNormal="100" zoomScaleSheetLayoutView="130" workbookViewId="0">
      <selection activeCell="N4" sqref="N4"/>
    </sheetView>
  </sheetViews>
  <sheetFormatPr defaultColWidth="9" defaultRowHeight="13" x14ac:dyDescent="0.2"/>
  <cols>
    <col min="1" max="1" width="4" style="202" customWidth="1"/>
    <col min="2" max="2" width="9.7265625" style="202" customWidth="1"/>
    <col min="3" max="3" width="6.1796875" style="202" customWidth="1"/>
    <col min="4" max="4" width="10.7265625" style="202" customWidth="1"/>
    <col min="5" max="5" width="6.1796875" style="202" customWidth="1"/>
    <col min="6" max="6" width="7.7265625" style="202" customWidth="1"/>
    <col min="7" max="7" width="6.1796875" style="202" customWidth="1"/>
    <col min="8" max="8" width="6.6328125" style="202" customWidth="1"/>
    <col min="9" max="9" width="6.1796875" style="202" customWidth="1"/>
    <col min="10" max="10" width="4.54296875" style="202" customWidth="1"/>
    <col min="11" max="12" width="3.6328125" style="202" customWidth="1"/>
    <col min="13" max="13" width="6.1796875" style="202" customWidth="1"/>
    <col min="14" max="14" width="3.6328125" style="202" customWidth="1"/>
    <col min="15" max="15" width="3.7265625" style="202" customWidth="1"/>
    <col min="16" max="16" width="4.36328125" style="202" customWidth="1"/>
    <col min="17" max="17" width="3.6328125" style="202" customWidth="1"/>
    <col min="18" max="19" width="4.36328125" style="202" customWidth="1"/>
    <col min="20" max="20" width="4.6328125" style="202" customWidth="1"/>
    <col min="21" max="21" width="9" style="202"/>
    <col min="22" max="22" width="9.453125" style="202" bestFit="1" customWidth="1"/>
    <col min="23" max="23" width="10.1796875" style="202" bestFit="1" customWidth="1"/>
    <col min="24" max="16384" width="9" style="202"/>
  </cols>
  <sheetData>
    <row r="1" spans="1:40" s="184" customFormat="1" ht="20.149999999999999" customHeight="1" x14ac:dyDescent="0.2">
      <c r="A1" s="184" t="s">
        <v>5</v>
      </c>
      <c r="G1" s="185"/>
      <c r="X1" s="186"/>
    </row>
    <row r="2" spans="1:40" s="184" customFormat="1" ht="20.149999999999999" customHeight="1" x14ac:dyDescent="0.2">
      <c r="A2" s="399" t="s">
        <v>52</v>
      </c>
      <c r="B2" s="399"/>
      <c r="C2" s="399"/>
      <c r="D2" s="399"/>
      <c r="E2" s="399"/>
      <c r="F2" s="399"/>
      <c r="G2" s="399"/>
      <c r="H2" s="399"/>
      <c r="I2" s="399"/>
      <c r="J2" s="399"/>
      <c r="K2" s="399"/>
      <c r="L2" s="399"/>
      <c r="M2" s="399"/>
      <c r="N2" s="399"/>
      <c r="O2" s="399"/>
      <c r="P2" s="399"/>
      <c r="Q2" s="399"/>
      <c r="R2" s="399"/>
      <c r="S2" s="399"/>
      <c r="T2" s="399"/>
      <c r="X2" s="187"/>
    </row>
    <row r="3" spans="1:40" s="184" customFormat="1" ht="15.75" customHeight="1" x14ac:dyDescent="0.2">
      <c r="A3" s="311"/>
      <c r="B3" s="311"/>
      <c r="C3" s="311"/>
      <c r="D3" s="311"/>
      <c r="E3" s="311"/>
      <c r="F3" s="311"/>
      <c r="G3" s="311"/>
      <c r="H3" s="311"/>
      <c r="I3" s="311"/>
      <c r="J3" s="311"/>
      <c r="K3" s="311"/>
      <c r="L3" s="311"/>
      <c r="M3" s="311"/>
      <c r="N3" s="311"/>
      <c r="O3" s="311"/>
      <c r="P3" s="311"/>
      <c r="Q3" s="311"/>
      <c r="R3" s="311"/>
      <c r="S3" s="311"/>
      <c r="T3" s="311"/>
      <c r="X3" s="187"/>
    </row>
    <row r="4" spans="1:40" s="184" customFormat="1" ht="20.149999999999999" customHeight="1" x14ac:dyDescent="0.2">
      <c r="K4" s="188"/>
      <c r="L4" s="188"/>
      <c r="M4" s="189" t="s">
        <v>75</v>
      </c>
      <c r="N4" s="210"/>
      <c r="O4" s="190" t="s">
        <v>74</v>
      </c>
      <c r="P4" s="210"/>
      <c r="Q4" s="191" t="s">
        <v>115</v>
      </c>
      <c r="R4" s="210"/>
      <c r="S4" s="189" t="s">
        <v>114</v>
      </c>
      <c r="V4" s="192"/>
      <c r="X4" s="187"/>
    </row>
    <row r="5" spans="1:40" s="184" customFormat="1" ht="15.75" customHeight="1" x14ac:dyDescent="0.2">
      <c r="T5" s="193"/>
      <c r="V5" s="192"/>
      <c r="X5" s="187"/>
    </row>
    <row r="6" spans="1:40" s="184" customFormat="1" ht="20.149999999999999" customHeight="1" x14ac:dyDescent="0.2">
      <c r="A6" s="184" t="s">
        <v>78</v>
      </c>
      <c r="V6" s="192"/>
      <c r="X6" s="193"/>
    </row>
    <row r="7" spans="1:40" s="184" customFormat="1" ht="15" customHeight="1" x14ac:dyDescent="0.2">
      <c r="X7" s="193"/>
    </row>
    <row r="8" spans="1:40" s="184" customFormat="1" ht="20.149999999999999" customHeight="1" x14ac:dyDescent="0.2">
      <c r="I8" s="184" t="s">
        <v>2</v>
      </c>
      <c r="K8" s="194"/>
      <c r="L8" s="194"/>
      <c r="M8" s="194"/>
      <c r="N8" s="194"/>
      <c r="O8" s="194"/>
      <c r="P8" s="194"/>
      <c r="Q8" s="194"/>
      <c r="R8" s="194"/>
      <c r="S8" s="194"/>
      <c r="X8" s="186"/>
    </row>
    <row r="9" spans="1:40" s="184" customFormat="1" ht="20.149999999999999" customHeight="1" x14ac:dyDescent="0.2">
      <c r="I9" s="400" t="s">
        <v>20</v>
      </c>
      <c r="J9" s="400"/>
      <c r="K9" s="400"/>
      <c r="L9" s="194" t="s">
        <v>13</v>
      </c>
      <c r="M9" s="401"/>
      <c r="N9" s="401"/>
      <c r="O9" s="401"/>
      <c r="P9" s="188"/>
      <c r="Q9" s="188"/>
      <c r="R9" s="188"/>
      <c r="S9" s="188"/>
      <c r="X9" s="186"/>
    </row>
    <row r="10" spans="1:40" s="184" customFormat="1" ht="20.149999999999999" customHeight="1" x14ac:dyDescent="0.2">
      <c r="K10" s="194"/>
      <c r="L10" s="406"/>
      <c r="M10" s="406"/>
      <c r="N10" s="406"/>
      <c r="O10" s="406"/>
      <c r="P10" s="406"/>
      <c r="Q10" s="406"/>
      <c r="R10" s="406"/>
      <c r="S10" s="406"/>
    </row>
    <row r="11" spans="1:40" s="184" customFormat="1" ht="27.75" customHeight="1" x14ac:dyDescent="0.2">
      <c r="I11" s="400" t="s" ph="1">
        <v>209</v>
      </c>
      <c r="J11" s="400" ph="1"/>
      <c r="K11" s="400"/>
      <c r="L11" s="406" ph="1"/>
      <c r="M11" s="406"/>
      <c r="N11" s="406"/>
      <c r="O11" s="406"/>
      <c r="P11" s="406"/>
      <c r="Q11" s="406"/>
      <c r="R11" s="406"/>
      <c r="S11" s="406"/>
      <c r="T11" s="195"/>
      <c r="X11" s="186"/>
    </row>
    <row r="12" spans="1:40" s="184" customFormat="1" ht="20.149999999999999" customHeight="1" x14ac:dyDescent="0.2">
      <c r="I12" s="402" t="s">
        <v>16</v>
      </c>
      <c r="J12" s="402"/>
      <c r="K12" s="402"/>
      <c r="L12" s="406"/>
      <c r="M12" s="406"/>
      <c r="N12" s="406"/>
      <c r="O12" s="406"/>
      <c r="P12" s="406"/>
      <c r="Q12" s="406"/>
      <c r="R12" s="406"/>
      <c r="S12" s="406"/>
      <c r="T12" s="196"/>
      <c r="X12" s="186" t="s">
        <v>1</v>
      </c>
    </row>
    <row r="13" spans="1:40" s="184" customFormat="1" ht="20.149999999999999" customHeight="1" x14ac:dyDescent="0.2">
      <c r="I13" s="403" t="s">
        <v>17</v>
      </c>
      <c r="J13" s="403"/>
      <c r="K13" s="403"/>
      <c r="L13" s="405"/>
      <c r="M13" s="405"/>
      <c r="N13" s="405"/>
      <c r="O13" s="405"/>
      <c r="P13" s="405"/>
      <c r="Q13" s="405"/>
      <c r="R13" s="405"/>
      <c r="S13" s="405"/>
      <c r="T13" s="196"/>
      <c r="X13" s="186" t="s" ph="1">
        <v>0</v>
      </c>
      <c r="Y13" s="184" ph="1"/>
      <c r="Z13" s="184" ph="1"/>
    </row>
    <row r="14" spans="1:40" s="184" customFormat="1" ht="20.149999999999999" customHeight="1" x14ac:dyDescent="0.2">
      <c r="I14" s="312"/>
      <c r="J14" s="312"/>
      <c r="K14" s="312"/>
      <c r="L14" s="197"/>
      <c r="M14" s="197"/>
      <c r="N14" s="197"/>
      <c r="O14" s="197"/>
      <c r="P14" s="197"/>
      <c r="Q14" s="197"/>
      <c r="R14" s="197"/>
      <c r="S14" s="197"/>
      <c r="T14" s="196"/>
      <c r="U14" s="188"/>
      <c r="V14" s="188"/>
      <c r="W14" s="188"/>
      <c r="X14" s="186" ph="1"/>
      <c r="Y14" s="184" ph="1"/>
      <c r="Z14" s="184" ph="1"/>
    </row>
    <row r="15" spans="1:40" s="184" customFormat="1" ht="19.5" customHeight="1" x14ac:dyDescent="0.2">
      <c r="A15" s="404" t="str">
        <f>"　 令和 "&amp;IFERROR(DBCS(YEAR((EDATE(DATEVALUE($M$4&amp;$N$4&amp;$O$4&amp;$P$4&amp;$Q$4&amp;$R$4&amp;$S$4),-3)))-2018),"　　")&amp;" 年度において、下記のとおり福島県省エネルギー住宅改修補助事業を実施したいので、福島県省エネルギー住宅改修補助事業補助金交付要綱第７条の規定により、関係書類を添えて、下記のとおり申請します。"</f>
        <v>　 令和 　　 年度において、下記のとおり福島県省エネルギー住宅改修補助事業を実施したいので、福島県省エネルギー住宅改修補助事業補助金交付要綱第７条の規定により、関係書類を添えて、下記のとおり申請します。</v>
      </c>
      <c r="B15" s="404"/>
      <c r="C15" s="404"/>
      <c r="D15" s="404"/>
      <c r="E15" s="404"/>
      <c r="F15" s="404"/>
      <c r="G15" s="404"/>
      <c r="H15" s="404"/>
      <c r="I15" s="404"/>
      <c r="J15" s="404"/>
      <c r="K15" s="404"/>
      <c r="L15" s="404"/>
      <c r="M15" s="404"/>
      <c r="N15" s="404"/>
      <c r="O15" s="404"/>
      <c r="P15" s="404"/>
      <c r="Q15" s="404"/>
      <c r="R15" s="404"/>
      <c r="S15" s="404"/>
      <c r="T15" s="404"/>
      <c r="X15" s="186"/>
    </row>
    <row r="16" spans="1:40" s="184" customFormat="1" ht="20.25" customHeight="1" x14ac:dyDescent="0.2">
      <c r="A16" s="404"/>
      <c r="B16" s="404"/>
      <c r="C16" s="404"/>
      <c r="D16" s="404"/>
      <c r="E16" s="404"/>
      <c r="F16" s="404"/>
      <c r="G16" s="404"/>
      <c r="H16" s="404"/>
      <c r="I16" s="404"/>
      <c r="J16" s="404"/>
      <c r="K16" s="404"/>
      <c r="L16" s="404"/>
      <c r="M16" s="404"/>
      <c r="N16" s="404"/>
      <c r="O16" s="404"/>
      <c r="P16" s="404"/>
      <c r="Q16" s="404"/>
      <c r="R16" s="404"/>
      <c r="S16" s="404"/>
      <c r="T16" s="404"/>
      <c r="W16" s="198"/>
      <c r="X16" s="198"/>
      <c r="Y16" s="198"/>
      <c r="Z16" s="198"/>
      <c r="AA16" s="198"/>
      <c r="AB16" s="198"/>
      <c r="AC16" s="198"/>
      <c r="AD16" s="198"/>
      <c r="AE16" s="198"/>
      <c r="AF16" s="198"/>
      <c r="AG16" s="198"/>
      <c r="AH16" s="198"/>
      <c r="AI16" s="198"/>
      <c r="AJ16" s="198"/>
      <c r="AK16" s="198"/>
      <c r="AL16" s="198"/>
      <c r="AM16" s="198"/>
      <c r="AN16" s="198"/>
    </row>
    <row r="17" spans="1:40" s="184" customFormat="1" ht="20.149999999999999" customHeight="1" x14ac:dyDescent="0.2">
      <c r="A17" s="398" t="s">
        <v>3</v>
      </c>
      <c r="B17" s="398"/>
      <c r="C17" s="398"/>
      <c r="D17" s="398"/>
      <c r="E17" s="398"/>
      <c r="F17" s="398"/>
      <c r="G17" s="398"/>
      <c r="H17" s="398"/>
      <c r="I17" s="398"/>
      <c r="J17" s="398"/>
      <c r="K17" s="398"/>
      <c r="L17" s="398"/>
      <c r="M17" s="398"/>
      <c r="N17" s="398"/>
      <c r="O17" s="398"/>
      <c r="P17" s="398"/>
      <c r="Q17" s="398"/>
      <c r="R17" s="398"/>
      <c r="S17" s="398"/>
      <c r="T17" s="398"/>
      <c r="W17" s="198"/>
      <c r="X17" s="198"/>
      <c r="Y17" s="198"/>
      <c r="Z17" s="198"/>
      <c r="AA17" s="198"/>
      <c r="AB17" s="198"/>
      <c r="AC17" s="198"/>
      <c r="AD17" s="198"/>
      <c r="AE17" s="198"/>
      <c r="AF17" s="198"/>
      <c r="AG17" s="198"/>
      <c r="AH17" s="198"/>
      <c r="AI17" s="198"/>
      <c r="AJ17" s="198"/>
      <c r="AK17" s="198"/>
      <c r="AL17" s="198"/>
      <c r="AM17" s="198"/>
      <c r="AN17" s="198"/>
    </row>
    <row r="18" spans="1:40" s="184" customFormat="1" ht="20" customHeight="1" x14ac:dyDescent="0.2">
      <c r="A18" s="275" t="s">
        <v>225</v>
      </c>
      <c r="D18" s="276"/>
      <c r="E18" s="276"/>
      <c r="F18" s="276"/>
      <c r="G18" s="276"/>
      <c r="H18" s="276"/>
      <c r="I18" s="276"/>
      <c r="J18" s="276"/>
      <c r="K18" s="276"/>
      <c r="L18" s="276"/>
      <c r="M18" s="276"/>
      <c r="N18" s="276"/>
      <c r="O18" s="276"/>
      <c r="P18" s="276"/>
      <c r="Q18" s="276"/>
      <c r="R18" s="276"/>
      <c r="S18" s="276"/>
      <c r="T18" s="276"/>
      <c r="X18" s="187"/>
    </row>
    <row r="19" spans="1:40" s="184" customFormat="1" ht="20" customHeight="1" x14ac:dyDescent="0.2">
      <c r="A19" s="466" t="s">
        <v>4</v>
      </c>
      <c r="B19" s="467"/>
      <c r="C19" s="277" t="s">
        <v>13</v>
      </c>
      <c r="D19" s="278"/>
      <c r="E19" s="470"/>
      <c r="F19" s="414"/>
      <c r="G19" s="414"/>
      <c r="H19" s="414"/>
      <c r="I19" s="414"/>
      <c r="J19" s="414"/>
      <c r="K19" s="414"/>
      <c r="L19" s="414"/>
      <c r="M19" s="414"/>
      <c r="N19" s="414"/>
      <c r="O19" s="414"/>
      <c r="P19" s="471" t="s">
        <v>226</v>
      </c>
      <c r="Q19" s="472"/>
      <c r="R19" s="472"/>
      <c r="S19" s="473"/>
      <c r="T19" s="474"/>
    </row>
    <row r="20" spans="1:40" s="184" customFormat="1" ht="20" customHeight="1" x14ac:dyDescent="0.2">
      <c r="A20" s="466" t="s">
        <v>8</v>
      </c>
      <c r="B20" s="467"/>
      <c r="C20" s="479"/>
      <c r="D20" s="462"/>
      <c r="E20" s="279" t="s">
        <v>9</v>
      </c>
      <c r="F20" s="307" t="s">
        <v>10</v>
      </c>
      <c r="G20" s="280"/>
      <c r="H20" s="310" t="s">
        <v>134</v>
      </c>
      <c r="I20" s="466" t="s">
        <v>6</v>
      </c>
      <c r="J20" s="467"/>
      <c r="K20" s="468"/>
      <c r="L20" s="469"/>
      <c r="M20" s="281" t="s">
        <v>7</v>
      </c>
      <c r="N20" s="407" t="s">
        <v>11</v>
      </c>
      <c r="O20" s="408"/>
      <c r="P20" s="408"/>
      <c r="Q20" s="475"/>
      <c r="R20" s="475"/>
      <c r="S20" s="476"/>
      <c r="T20" s="282" t="s">
        <v>12</v>
      </c>
      <c r="U20" s="199"/>
      <c r="V20" s="199"/>
      <c r="X20" s="186"/>
    </row>
    <row r="21" spans="1:40" s="184" customFormat="1" ht="20" customHeight="1" x14ac:dyDescent="0.2">
      <c r="A21" s="452" t="s">
        <v>18</v>
      </c>
      <c r="B21" s="453"/>
      <c r="C21" s="457"/>
      <c r="D21" s="457"/>
      <c r="E21" s="458"/>
      <c r="F21" s="452" t="s">
        <v>19</v>
      </c>
      <c r="G21" s="453"/>
      <c r="H21" s="457"/>
      <c r="I21" s="457"/>
      <c r="J21" s="457"/>
      <c r="K21" s="458"/>
      <c r="L21" s="450"/>
      <c r="M21" s="451"/>
      <c r="N21" s="451"/>
      <c r="O21" s="451"/>
      <c r="P21" s="451"/>
      <c r="Q21" s="451"/>
      <c r="R21" s="451"/>
      <c r="S21" s="451"/>
      <c r="T21" s="451"/>
    </row>
    <row r="22" spans="1:40" s="184" customFormat="1" ht="20" customHeight="1" x14ac:dyDescent="0.2">
      <c r="A22" s="283"/>
      <c r="B22" s="283"/>
      <c r="C22" s="283"/>
      <c r="D22" s="283"/>
      <c r="E22" s="283"/>
      <c r="F22" s="477"/>
      <c r="G22" s="477"/>
      <c r="H22" s="477"/>
      <c r="I22" s="477"/>
      <c r="J22" s="477"/>
      <c r="K22" s="477"/>
      <c r="L22" s="478"/>
      <c r="M22" s="478"/>
      <c r="N22" s="478"/>
      <c r="O22" s="478"/>
      <c r="P22" s="478"/>
      <c r="Q22" s="478"/>
      <c r="R22" s="478"/>
      <c r="S22" s="478"/>
      <c r="T22" s="478"/>
    </row>
    <row r="23" spans="1:40" s="184" customFormat="1" ht="20" customHeight="1" x14ac:dyDescent="0.2">
      <c r="A23" s="200" t="s">
        <v>54</v>
      </c>
      <c r="B23" s="201"/>
      <c r="C23" s="201"/>
      <c r="D23" s="201"/>
      <c r="E23" s="201"/>
      <c r="F23" s="201"/>
      <c r="G23" s="201"/>
      <c r="H23" s="201"/>
      <c r="I23" s="195"/>
      <c r="J23" s="195"/>
      <c r="K23" s="195"/>
      <c r="L23" s="195"/>
      <c r="M23" s="195"/>
      <c r="N23" s="195"/>
      <c r="O23" s="195"/>
      <c r="P23" s="195"/>
      <c r="Q23" s="195"/>
      <c r="R23" s="195"/>
      <c r="S23" s="195"/>
      <c r="T23" s="195"/>
    </row>
    <row r="24" spans="1:40" s="184" customFormat="1" ht="20" customHeight="1" x14ac:dyDescent="0.2">
      <c r="A24" s="407" t="s">
        <v>21</v>
      </c>
      <c r="B24" s="408"/>
      <c r="C24" s="409"/>
      <c r="D24" s="409"/>
      <c r="E24" s="409"/>
      <c r="F24" s="410"/>
      <c r="G24" s="407" t="s">
        <v>15</v>
      </c>
      <c r="H24" s="408"/>
      <c r="I24" s="462"/>
      <c r="J24" s="463"/>
      <c r="K24" s="463"/>
      <c r="L24" s="464"/>
      <c r="M24" s="459" t="s">
        <v>353</v>
      </c>
      <c r="N24" s="460"/>
      <c r="O24" s="460"/>
      <c r="P24" s="460"/>
      <c r="Q24" s="461"/>
      <c r="R24" s="455" t="s">
        <v>354</v>
      </c>
      <c r="S24" s="455"/>
      <c r="T24" s="456"/>
    </row>
    <row r="25" spans="1:40" s="184" customFormat="1" ht="20" customHeight="1" x14ac:dyDescent="0.2">
      <c r="A25" s="452" t="s">
        <v>135</v>
      </c>
      <c r="B25" s="453"/>
      <c r="C25" s="277" t="s">
        <v>13</v>
      </c>
      <c r="D25" s="278"/>
      <c r="E25" s="454"/>
      <c r="F25" s="455"/>
      <c r="G25" s="455"/>
      <c r="H25" s="455"/>
      <c r="I25" s="455"/>
      <c r="J25" s="455"/>
      <c r="K25" s="455"/>
      <c r="L25" s="455"/>
      <c r="M25" s="455"/>
      <c r="N25" s="455"/>
      <c r="O25" s="455"/>
      <c r="P25" s="455"/>
      <c r="Q25" s="455"/>
      <c r="R25" s="455"/>
      <c r="S25" s="455"/>
      <c r="T25" s="456"/>
    </row>
    <row r="26" spans="1:40" s="184" customFormat="1" ht="20" customHeight="1" x14ac:dyDescent="0.2">
      <c r="A26" s="407" t="s">
        <v>16</v>
      </c>
      <c r="B26" s="408"/>
      <c r="C26" s="409"/>
      <c r="D26" s="409"/>
      <c r="E26" s="409"/>
      <c r="F26" s="410"/>
      <c r="G26" s="411" t="s">
        <v>17</v>
      </c>
      <c r="H26" s="412"/>
      <c r="I26" s="409"/>
      <c r="J26" s="409"/>
      <c r="K26" s="409"/>
      <c r="L26" s="409"/>
      <c r="M26" s="409"/>
      <c r="N26" s="409"/>
      <c r="O26" s="409"/>
      <c r="P26" s="409"/>
      <c r="Q26" s="409"/>
      <c r="R26" s="409"/>
      <c r="S26" s="409"/>
      <c r="T26" s="465"/>
      <c r="U26" s="284"/>
    </row>
    <row r="27" spans="1:40" s="184" customFormat="1" ht="20" customHeight="1" x14ac:dyDescent="0.2"/>
    <row r="28" spans="1:40" s="184" customFormat="1" ht="20" customHeight="1" x14ac:dyDescent="0.2">
      <c r="A28" s="200" t="s">
        <v>227</v>
      </c>
    </row>
    <row r="29" spans="1:40" s="184" customFormat="1" ht="20" customHeight="1" x14ac:dyDescent="0.2">
      <c r="A29" s="419" t="s">
        <v>224</v>
      </c>
      <c r="B29" s="420"/>
      <c r="C29" s="420"/>
      <c r="D29" s="420"/>
      <c r="E29" s="420"/>
      <c r="F29" s="421"/>
      <c r="G29" s="104"/>
      <c r="H29" s="285" t="s">
        <v>79</v>
      </c>
      <c r="I29" s="285"/>
      <c r="J29" s="285"/>
      <c r="K29" s="285"/>
      <c r="L29" s="285"/>
      <c r="M29" s="285"/>
      <c r="N29" s="285"/>
      <c r="O29" s="285"/>
      <c r="P29" s="285"/>
      <c r="Q29" s="285"/>
      <c r="R29" s="285"/>
      <c r="S29" s="285"/>
      <c r="T29" s="286"/>
    </row>
    <row r="30" spans="1:40" s="184" customFormat="1" ht="20" customHeight="1" x14ac:dyDescent="0.2">
      <c r="A30" s="422"/>
      <c r="B30" s="423"/>
      <c r="C30" s="423"/>
      <c r="D30" s="423"/>
      <c r="E30" s="423"/>
      <c r="F30" s="424"/>
      <c r="G30" s="287"/>
      <c r="H30" s="276" t="s">
        <v>80</v>
      </c>
      <c r="I30" s="276"/>
      <c r="J30" s="276"/>
      <c r="K30" s="276"/>
      <c r="L30" s="276"/>
      <c r="M30" s="276"/>
      <c r="N30" s="276"/>
      <c r="O30" s="276"/>
      <c r="P30" s="276"/>
      <c r="Q30" s="276"/>
      <c r="R30" s="276"/>
      <c r="S30" s="276"/>
      <c r="T30" s="288"/>
    </row>
    <row r="31" spans="1:40" s="184" customFormat="1" ht="20" customHeight="1" x14ac:dyDescent="0.2">
      <c r="A31" s="441" t="s">
        <v>223</v>
      </c>
      <c r="B31" s="442"/>
      <c r="C31" s="289" t="s">
        <v>81</v>
      </c>
      <c r="D31" s="285"/>
      <c r="E31" s="327"/>
      <c r="F31" s="327"/>
      <c r="G31" s="104"/>
      <c r="H31" s="327" t="s">
        <v>132</v>
      </c>
      <c r="I31" s="327"/>
      <c r="J31" s="327"/>
      <c r="K31" s="327"/>
      <c r="L31" s="392" t="s">
        <v>271</v>
      </c>
      <c r="M31" s="392"/>
      <c r="N31" s="392"/>
      <c r="O31" s="392"/>
      <c r="P31" s="392"/>
      <c r="Q31" s="392"/>
      <c r="R31" s="392"/>
      <c r="S31" s="392"/>
      <c r="T31" s="393"/>
    </row>
    <row r="32" spans="1:40" s="188" customFormat="1" ht="20" customHeight="1" x14ac:dyDescent="0.2">
      <c r="A32" s="443"/>
      <c r="B32" s="444"/>
      <c r="C32" s="290" t="s">
        <v>256</v>
      </c>
      <c r="D32" s="320"/>
      <c r="E32" s="320"/>
      <c r="F32" s="320"/>
      <c r="G32" s="287"/>
      <c r="H32" s="291" t="s">
        <v>133</v>
      </c>
      <c r="I32" s="320"/>
      <c r="J32" s="320"/>
      <c r="K32" s="320"/>
      <c r="L32" s="394"/>
      <c r="M32" s="394"/>
      <c r="N32" s="394"/>
      <c r="O32" s="394"/>
      <c r="P32" s="394"/>
      <c r="Q32" s="394"/>
      <c r="R32" s="394"/>
      <c r="S32" s="394"/>
      <c r="T32" s="395"/>
      <c r="V32" s="283"/>
      <c r="W32" s="283"/>
      <c r="X32" s="283"/>
      <c r="Y32" s="283"/>
      <c r="Z32" s="283"/>
      <c r="AA32" s="283"/>
      <c r="AB32" s="283"/>
      <c r="AC32" s="283"/>
      <c r="AD32" s="283"/>
      <c r="AE32" s="283"/>
      <c r="AF32" s="283"/>
      <c r="AG32" s="283"/>
    </row>
    <row r="33" spans="1:33" s="184" customFormat="1" ht="20" customHeight="1" x14ac:dyDescent="0.2">
      <c r="A33" s="443"/>
      <c r="B33" s="444"/>
      <c r="C33" s="292" t="s">
        <v>82</v>
      </c>
      <c r="D33" s="199"/>
      <c r="E33" s="293"/>
      <c r="F33" s="293"/>
      <c r="G33" s="103"/>
      <c r="H33" s="390" t="s">
        <v>83</v>
      </c>
      <c r="I33" s="390"/>
      <c r="J33" s="390"/>
      <c r="K33" s="390"/>
      <c r="L33" s="390"/>
      <c r="M33" s="390"/>
      <c r="N33" s="390"/>
      <c r="O33" s="390"/>
      <c r="P33" s="390"/>
      <c r="Q33" s="390"/>
      <c r="R33" s="390"/>
      <c r="S33" s="390"/>
      <c r="T33" s="391"/>
      <c r="V33" s="199"/>
      <c r="W33" s="199"/>
      <c r="X33" s="293"/>
      <c r="Y33" s="293"/>
      <c r="Z33" s="293"/>
      <c r="AA33" s="293"/>
      <c r="AB33" s="293"/>
      <c r="AC33" s="293"/>
      <c r="AD33" s="293"/>
      <c r="AE33" s="293"/>
      <c r="AF33" s="293"/>
      <c r="AG33" s="293"/>
    </row>
    <row r="34" spans="1:33" s="184" customFormat="1" ht="20" customHeight="1" x14ac:dyDescent="0.2">
      <c r="A34" s="443"/>
      <c r="B34" s="444"/>
      <c r="C34" s="322" t="s">
        <v>256</v>
      </c>
      <c r="D34" s="276"/>
      <c r="E34" s="293"/>
      <c r="F34" s="293"/>
      <c r="G34" s="103"/>
      <c r="H34" s="293" t="s">
        <v>84</v>
      </c>
      <c r="I34" s="199"/>
      <c r="J34" s="293"/>
      <c r="K34" s="293"/>
      <c r="L34" s="293"/>
      <c r="M34" s="293"/>
      <c r="N34" s="293"/>
      <c r="O34" s="293"/>
      <c r="P34" s="293"/>
      <c r="Q34" s="293"/>
      <c r="R34" s="293"/>
      <c r="S34" s="293"/>
      <c r="T34" s="294"/>
      <c r="V34" s="199"/>
      <c r="W34" s="199"/>
      <c r="X34" s="199"/>
      <c r="Y34" s="199"/>
      <c r="Z34" s="199"/>
      <c r="AA34" s="295"/>
      <c r="AB34" s="296"/>
      <c r="AC34" s="296"/>
      <c r="AD34" s="297"/>
      <c r="AE34" s="296"/>
      <c r="AF34" s="296"/>
      <c r="AG34" s="296"/>
    </row>
    <row r="35" spans="1:33" s="184" customFormat="1" ht="20" customHeight="1" x14ac:dyDescent="0.2">
      <c r="A35" s="443"/>
      <c r="B35" s="444"/>
      <c r="C35" s="289" t="s">
        <v>248</v>
      </c>
      <c r="D35" s="315"/>
      <c r="E35" s="425" t="s">
        <v>46</v>
      </c>
      <c r="F35" s="426"/>
      <c r="G35" s="104"/>
      <c r="H35" s="308" t="s">
        <v>239</v>
      </c>
      <c r="I35" s="315"/>
      <c r="J35" s="285"/>
      <c r="K35" s="285"/>
      <c r="L35" s="285"/>
      <c r="M35" s="315"/>
      <c r="N35" s="315"/>
      <c r="O35" s="315"/>
      <c r="P35" s="285"/>
      <c r="Q35" s="285"/>
      <c r="R35" s="315"/>
      <c r="S35" s="315"/>
      <c r="T35" s="316"/>
    </row>
    <row r="36" spans="1:33" s="184" customFormat="1" ht="20" customHeight="1" x14ac:dyDescent="0.2">
      <c r="A36" s="443"/>
      <c r="B36" s="444"/>
      <c r="C36" s="437" t="s">
        <v>272</v>
      </c>
      <c r="D36" s="438"/>
      <c r="E36" s="427"/>
      <c r="F36" s="428"/>
      <c r="G36" s="103"/>
      <c r="H36" s="201" t="s">
        <v>234</v>
      </c>
      <c r="I36" s="298"/>
      <c r="J36" s="199"/>
      <c r="K36" s="199"/>
      <c r="L36" s="199"/>
      <c r="M36" s="298"/>
      <c r="N36" s="298"/>
      <c r="O36" s="298"/>
      <c r="P36" s="199"/>
      <c r="Q36" s="199"/>
      <c r="R36" s="298"/>
      <c r="S36" s="298"/>
      <c r="T36" s="299"/>
    </row>
    <row r="37" spans="1:33" s="184" customFormat="1" ht="20" customHeight="1" x14ac:dyDescent="0.2">
      <c r="A37" s="443"/>
      <c r="B37" s="444"/>
      <c r="C37" s="437"/>
      <c r="D37" s="438"/>
      <c r="E37" s="429"/>
      <c r="F37" s="430"/>
      <c r="G37" s="105"/>
      <c r="H37" s="309" t="s">
        <v>352</v>
      </c>
      <c r="I37" s="300"/>
      <c r="J37" s="276"/>
      <c r="K37" s="276"/>
      <c r="L37" s="276"/>
      <c r="M37" s="300"/>
      <c r="N37" s="300"/>
      <c r="O37" s="300"/>
      <c r="P37" s="276"/>
      <c r="Q37" s="276"/>
      <c r="R37" s="300"/>
      <c r="S37" s="300"/>
      <c r="T37" s="301"/>
    </row>
    <row r="38" spans="1:33" s="184" customFormat="1" ht="20" customHeight="1" x14ac:dyDescent="0.2">
      <c r="A38" s="443"/>
      <c r="B38" s="444"/>
      <c r="C38" s="437"/>
      <c r="D38" s="438"/>
      <c r="E38" s="302" t="s">
        <v>47</v>
      </c>
      <c r="F38" s="303"/>
      <c r="G38" s="104"/>
      <c r="H38" s="308" t="s">
        <v>238</v>
      </c>
      <c r="I38" s="315"/>
      <c r="J38" s="285"/>
      <c r="K38" s="285"/>
      <c r="L38" s="285"/>
      <c r="M38" s="315"/>
      <c r="N38" s="315"/>
      <c r="O38" s="315"/>
      <c r="P38" s="285"/>
      <c r="Q38" s="285"/>
      <c r="R38" s="315"/>
      <c r="S38" s="315"/>
      <c r="T38" s="316"/>
    </row>
    <row r="39" spans="1:33" s="184" customFormat="1" ht="20" customHeight="1" x14ac:dyDescent="0.2">
      <c r="A39" s="443"/>
      <c r="B39" s="444"/>
      <c r="C39" s="437"/>
      <c r="D39" s="438"/>
      <c r="E39" s="304"/>
      <c r="F39" s="305"/>
      <c r="G39" s="105"/>
      <c r="H39" s="309" t="s">
        <v>235</v>
      </c>
      <c r="I39" s="300"/>
      <c r="J39" s="276"/>
      <c r="K39" s="276"/>
      <c r="L39" s="276"/>
      <c r="M39" s="300"/>
      <c r="N39" s="300"/>
      <c r="O39" s="300"/>
      <c r="P39" s="276"/>
      <c r="Q39" s="276"/>
      <c r="R39" s="300"/>
      <c r="S39" s="300"/>
      <c r="T39" s="301"/>
    </row>
    <row r="40" spans="1:33" s="184" customFormat="1" ht="20" customHeight="1" x14ac:dyDescent="0.2">
      <c r="A40" s="443"/>
      <c r="B40" s="444"/>
      <c r="C40" s="437"/>
      <c r="D40" s="438"/>
      <c r="E40" s="431" t="s">
        <v>341</v>
      </c>
      <c r="F40" s="432"/>
      <c r="G40" s="104"/>
      <c r="H40" s="308" t="s">
        <v>237</v>
      </c>
      <c r="I40" s="315"/>
      <c r="J40" s="285"/>
      <c r="K40" s="285"/>
      <c r="L40" s="285"/>
      <c r="M40" s="315"/>
      <c r="N40" s="315"/>
      <c r="O40" s="315"/>
      <c r="P40" s="285"/>
      <c r="Q40" s="285"/>
      <c r="R40" s="315"/>
      <c r="S40" s="315"/>
      <c r="T40" s="316"/>
    </row>
    <row r="41" spans="1:33" s="184" customFormat="1" ht="20" customHeight="1" x14ac:dyDescent="0.2">
      <c r="A41" s="443"/>
      <c r="B41" s="444"/>
      <c r="C41" s="437"/>
      <c r="D41" s="438"/>
      <c r="E41" s="433"/>
      <c r="F41" s="434"/>
      <c r="G41" s="103"/>
      <c r="H41" s="201" t="s">
        <v>236</v>
      </c>
      <c r="I41" s="298"/>
      <c r="J41" s="199"/>
      <c r="K41" s="199"/>
      <c r="L41" s="199"/>
      <c r="M41" s="298"/>
      <c r="N41" s="298"/>
      <c r="O41" s="298"/>
      <c r="P41" s="199"/>
      <c r="Q41" s="199"/>
      <c r="R41" s="298"/>
      <c r="S41" s="298"/>
      <c r="T41" s="299"/>
    </row>
    <row r="42" spans="1:33" s="184" customFormat="1" ht="36" customHeight="1" x14ac:dyDescent="0.2">
      <c r="A42" s="445"/>
      <c r="B42" s="446"/>
      <c r="C42" s="439"/>
      <c r="D42" s="440"/>
      <c r="E42" s="435"/>
      <c r="F42" s="436"/>
      <c r="G42" s="314"/>
      <c r="H42" s="309"/>
      <c r="I42" s="300"/>
      <c r="J42" s="276"/>
      <c r="K42" s="276"/>
      <c r="L42" s="276"/>
      <c r="M42" s="300"/>
      <c r="N42" s="300"/>
      <c r="O42" s="300"/>
      <c r="P42" s="276"/>
      <c r="Q42" s="276"/>
      <c r="R42" s="300"/>
      <c r="S42" s="300"/>
      <c r="T42" s="301"/>
    </row>
    <row r="43" spans="1:33" s="184" customFormat="1" ht="20" customHeight="1" x14ac:dyDescent="0.2">
      <c r="A43" s="387" t="s">
        <v>316</v>
      </c>
      <c r="B43" s="388"/>
      <c r="C43" s="388"/>
      <c r="D43" s="388"/>
      <c r="E43" s="388"/>
      <c r="F43" s="389"/>
      <c r="G43" s="416">
        <f>'様式１－１（補助金額確認）'!M14+'様式１－１（補助金額確認）'!M36+'様式１－１（補助金額確認）'!M45+'様式１－１（補助金額確認）'!M46</f>
        <v>0</v>
      </c>
      <c r="H43" s="417"/>
      <c r="I43" s="417"/>
      <c r="J43" s="417"/>
      <c r="K43" s="417"/>
      <c r="L43" s="417"/>
      <c r="M43" s="417"/>
      <c r="N43" s="417"/>
      <c r="O43" s="417"/>
      <c r="P43" s="417"/>
      <c r="Q43" s="417"/>
      <c r="R43" s="417"/>
      <c r="S43" s="417"/>
      <c r="T43" s="418"/>
    </row>
    <row r="44" spans="1:33" s="184" customFormat="1" ht="20" customHeight="1" x14ac:dyDescent="0.2">
      <c r="A44" s="387" t="s">
        <v>233</v>
      </c>
      <c r="B44" s="388"/>
      <c r="C44" s="388"/>
      <c r="D44" s="388"/>
      <c r="E44" s="388"/>
      <c r="F44" s="389"/>
      <c r="G44" s="397" t="s">
        <v>249</v>
      </c>
      <c r="H44" s="397"/>
      <c r="I44" s="397"/>
      <c r="J44" s="397" t="s">
        <v>250</v>
      </c>
      <c r="K44" s="397"/>
      <c r="L44" s="397"/>
      <c r="M44" s="397"/>
      <c r="N44" s="397" t="s">
        <v>251</v>
      </c>
      <c r="O44" s="397"/>
      <c r="P44" s="397"/>
      <c r="Q44" s="397"/>
      <c r="R44" s="397"/>
      <c r="S44" s="397"/>
      <c r="T44" s="397"/>
    </row>
    <row r="45" spans="1:33" s="184" customFormat="1" ht="20" customHeight="1" x14ac:dyDescent="0.2">
      <c r="A45" s="387"/>
      <c r="B45" s="388"/>
      <c r="C45" s="388"/>
      <c r="D45" s="388"/>
      <c r="E45" s="388"/>
      <c r="F45" s="389"/>
      <c r="G45" s="396">
        <f>'様式１－１（補助金額確認）'!$H$7</f>
        <v>0</v>
      </c>
      <c r="H45" s="396"/>
      <c r="I45" s="396"/>
      <c r="J45" s="396">
        <f>'様式１－１（補助金額確認）'!$I$7</f>
        <v>0</v>
      </c>
      <c r="K45" s="396"/>
      <c r="L45" s="396"/>
      <c r="M45" s="396"/>
      <c r="N45" s="396">
        <f>G45+J45</f>
        <v>0</v>
      </c>
      <c r="O45" s="396"/>
      <c r="P45" s="396"/>
      <c r="Q45" s="396"/>
      <c r="R45" s="396"/>
      <c r="S45" s="396"/>
      <c r="T45" s="396"/>
      <c r="X45" s="199"/>
      <c r="Y45" s="199"/>
      <c r="Z45" s="199"/>
    </row>
    <row r="46" spans="1:33" s="184" customFormat="1" ht="20" customHeight="1" x14ac:dyDescent="0.2">
      <c r="A46" s="387" t="s">
        <v>252</v>
      </c>
      <c r="B46" s="388"/>
      <c r="C46" s="388"/>
      <c r="D46" s="388"/>
      <c r="E46" s="388"/>
      <c r="F46" s="389"/>
      <c r="G46" s="447" t="s">
        <v>231</v>
      </c>
      <c r="H46" s="448"/>
      <c r="I46" s="448"/>
      <c r="J46" s="449"/>
      <c r="K46" s="413"/>
      <c r="L46" s="414"/>
      <c r="M46" s="414"/>
      <c r="N46" s="414"/>
      <c r="O46" s="414"/>
      <c r="P46" s="414"/>
      <c r="Q46" s="414"/>
      <c r="R46" s="414"/>
      <c r="S46" s="414"/>
      <c r="T46" s="415"/>
      <c r="X46" s="306"/>
      <c r="Y46" s="199"/>
      <c r="Z46" s="199"/>
    </row>
    <row r="47" spans="1:33" s="184" customFormat="1" ht="15" customHeight="1" x14ac:dyDescent="0.2">
      <c r="A47" s="202"/>
      <c r="B47" s="202"/>
      <c r="C47" s="202"/>
      <c r="D47" s="202"/>
      <c r="E47" s="202"/>
      <c r="F47" s="202"/>
      <c r="G47" s="202"/>
      <c r="H47" s="202"/>
      <c r="I47" s="202"/>
      <c r="J47" s="202"/>
      <c r="K47" s="202"/>
      <c r="L47" s="202"/>
      <c r="M47" s="202"/>
      <c r="N47" s="202"/>
      <c r="O47" s="202"/>
      <c r="P47" s="202"/>
      <c r="Q47" s="202"/>
      <c r="R47" s="202"/>
      <c r="S47" s="202"/>
      <c r="T47" s="202"/>
      <c r="X47" s="199"/>
      <c r="Y47" s="199"/>
      <c r="Z47" s="199"/>
    </row>
    <row r="48" spans="1:33" ht="19.5" customHeight="1" x14ac:dyDescent="0.2">
      <c r="A48" s="200" t="s">
        <v>232</v>
      </c>
      <c r="B48" s="203"/>
    </row>
    <row r="49" spans="1:20" ht="19.5" customHeight="1" x14ac:dyDescent="0.2">
      <c r="A49" s="104"/>
      <c r="B49" s="308" t="s">
        <v>55</v>
      </c>
      <c r="C49" s="324"/>
      <c r="D49" s="324"/>
      <c r="E49" s="324"/>
      <c r="F49" s="324"/>
      <c r="G49" s="324"/>
      <c r="H49" s="324"/>
      <c r="I49" s="324"/>
      <c r="J49" s="324"/>
      <c r="K49" s="324"/>
      <c r="L49" s="324"/>
      <c r="M49" s="324"/>
      <c r="N49" s="324"/>
      <c r="O49" s="324"/>
      <c r="P49" s="324"/>
      <c r="Q49" s="324"/>
      <c r="R49" s="324"/>
      <c r="S49" s="324"/>
      <c r="T49" s="325"/>
    </row>
    <row r="50" spans="1:20" ht="19.5" customHeight="1" x14ac:dyDescent="0.2">
      <c r="A50" s="103"/>
      <c r="B50" s="201" t="s">
        <v>127</v>
      </c>
      <c r="C50" s="204"/>
      <c r="D50" s="204"/>
      <c r="E50" s="204"/>
      <c r="F50" s="204"/>
      <c r="G50" s="204"/>
      <c r="H50" s="204"/>
      <c r="I50" s="204"/>
      <c r="J50" s="204"/>
      <c r="K50" s="204"/>
      <c r="L50" s="204"/>
      <c r="M50" s="204"/>
      <c r="N50" s="204"/>
      <c r="O50" s="204"/>
      <c r="P50" s="204"/>
      <c r="Q50" s="204"/>
      <c r="R50" s="204"/>
      <c r="S50" s="204"/>
      <c r="T50" s="205"/>
    </row>
    <row r="51" spans="1:20" ht="19.5" customHeight="1" x14ac:dyDescent="0.2">
      <c r="A51" s="103"/>
      <c r="B51" s="195" t="s">
        <v>125</v>
      </c>
      <c r="C51" s="204"/>
      <c r="D51" s="204"/>
      <c r="E51" s="204"/>
      <c r="F51" s="204"/>
      <c r="G51" s="204"/>
      <c r="H51" s="204"/>
      <c r="I51" s="204"/>
      <c r="J51" s="204"/>
      <c r="K51" s="204"/>
      <c r="L51" s="204"/>
      <c r="M51" s="204"/>
      <c r="N51" s="204"/>
      <c r="O51" s="204"/>
      <c r="P51" s="204"/>
      <c r="Q51" s="204"/>
      <c r="R51" s="204"/>
      <c r="S51" s="204"/>
      <c r="T51" s="205"/>
    </row>
    <row r="52" spans="1:20" ht="19.5" customHeight="1" x14ac:dyDescent="0.2">
      <c r="A52" s="103"/>
      <c r="B52" s="195" t="s">
        <v>121</v>
      </c>
      <c r="C52" s="204"/>
      <c r="D52" s="204"/>
      <c r="E52" s="204"/>
      <c r="F52" s="204"/>
      <c r="G52" s="204"/>
      <c r="H52" s="204"/>
      <c r="I52" s="204"/>
      <c r="J52" s="204"/>
      <c r="K52" s="204"/>
      <c r="L52" s="204"/>
      <c r="M52" s="204"/>
      <c r="N52" s="204"/>
      <c r="O52" s="204"/>
      <c r="P52" s="204"/>
      <c r="Q52" s="204"/>
      <c r="R52" s="204"/>
      <c r="S52" s="204"/>
      <c r="T52" s="205"/>
    </row>
    <row r="53" spans="1:20" ht="19.5" customHeight="1" x14ac:dyDescent="0.2">
      <c r="A53" s="103"/>
      <c r="B53" s="201" t="s">
        <v>122</v>
      </c>
      <c r="C53" s="204"/>
      <c r="D53" s="204"/>
      <c r="E53" s="204"/>
      <c r="F53" s="204"/>
      <c r="G53" s="204"/>
      <c r="H53" s="204"/>
      <c r="I53" s="204"/>
      <c r="J53" s="204"/>
      <c r="K53" s="204"/>
      <c r="L53" s="204"/>
      <c r="M53" s="204"/>
      <c r="N53" s="204"/>
      <c r="O53" s="204"/>
      <c r="P53" s="204"/>
      <c r="Q53" s="204"/>
      <c r="R53" s="204"/>
      <c r="S53" s="204"/>
      <c r="T53" s="205"/>
    </row>
    <row r="54" spans="1:20" ht="19.5" customHeight="1" x14ac:dyDescent="0.2">
      <c r="A54" s="103"/>
      <c r="B54" s="184" t="s">
        <v>123</v>
      </c>
      <c r="C54" s="204"/>
      <c r="D54" s="204"/>
      <c r="E54" s="204"/>
      <c r="F54" s="204"/>
      <c r="G54" s="204"/>
      <c r="H54" s="204"/>
      <c r="I54" s="204"/>
      <c r="J54" s="204"/>
      <c r="K54" s="204"/>
      <c r="L54" s="204"/>
      <c r="M54" s="204"/>
      <c r="N54" s="204"/>
      <c r="O54" s="204"/>
      <c r="P54" s="204"/>
      <c r="Q54" s="204"/>
      <c r="R54" s="204"/>
      <c r="S54" s="204"/>
      <c r="T54" s="205"/>
    </row>
    <row r="55" spans="1:20" ht="19.5" customHeight="1" x14ac:dyDescent="0.2">
      <c r="A55" s="103"/>
      <c r="B55" s="201" t="s">
        <v>77</v>
      </c>
      <c r="C55" s="204"/>
      <c r="D55" s="204"/>
      <c r="E55" s="204"/>
      <c r="F55" s="204"/>
      <c r="G55" s="204"/>
      <c r="H55" s="204"/>
      <c r="I55" s="204"/>
      <c r="J55" s="204"/>
      <c r="K55" s="204"/>
      <c r="L55" s="204"/>
      <c r="M55" s="204"/>
      <c r="N55" s="204"/>
      <c r="O55" s="204"/>
      <c r="P55" s="204"/>
      <c r="Q55" s="204"/>
      <c r="R55" s="204"/>
      <c r="S55" s="204"/>
      <c r="T55" s="205"/>
    </row>
    <row r="56" spans="1:20" ht="19.5" customHeight="1" x14ac:dyDescent="0.2">
      <c r="A56" s="103"/>
      <c r="B56" s="201" t="s">
        <v>124</v>
      </c>
      <c r="C56" s="204"/>
      <c r="D56" s="204"/>
      <c r="E56" s="204"/>
      <c r="F56" s="204"/>
      <c r="G56" s="204"/>
      <c r="H56" s="204"/>
      <c r="I56" s="204"/>
      <c r="J56" s="204"/>
      <c r="K56" s="204"/>
      <c r="L56" s="204"/>
      <c r="M56" s="204"/>
      <c r="N56" s="204"/>
      <c r="O56" s="204"/>
      <c r="P56" s="204"/>
      <c r="Q56" s="204"/>
      <c r="R56" s="204"/>
      <c r="S56" s="204"/>
      <c r="T56" s="205"/>
    </row>
    <row r="57" spans="1:20" ht="19.5" customHeight="1" x14ac:dyDescent="0.2">
      <c r="A57" s="103"/>
      <c r="B57" s="195" t="s">
        <v>120</v>
      </c>
      <c r="C57" s="204"/>
      <c r="D57" s="204"/>
      <c r="E57" s="204"/>
      <c r="F57" s="204"/>
      <c r="G57" s="204"/>
      <c r="H57" s="204"/>
      <c r="I57" s="204"/>
      <c r="J57" s="204"/>
      <c r="K57" s="204"/>
      <c r="L57" s="204"/>
      <c r="M57" s="204"/>
      <c r="N57" s="204"/>
      <c r="O57" s="204"/>
      <c r="P57" s="204"/>
      <c r="Q57" s="204"/>
      <c r="R57" s="204"/>
      <c r="S57" s="204"/>
      <c r="T57" s="205"/>
    </row>
    <row r="58" spans="1:20" ht="19.5" customHeight="1" x14ac:dyDescent="0.2">
      <c r="A58" s="103"/>
      <c r="B58" s="201" t="s">
        <v>129</v>
      </c>
      <c r="C58" s="204"/>
      <c r="D58" s="204"/>
      <c r="E58" s="204"/>
      <c r="F58" s="204"/>
      <c r="G58" s="204"/>
      <c r="H58" s="204"/>
      <c r="I58" s="204"/>
      <c r="J58" s="204"/>
      <c r="K58" s="204"/>
      <c r="L58" s="204"/>
      <c r="M58" s="204"/>
      <c r="N58" s="204"/>
      <c r="O58" s="204"/>
      <c r="P58" s="204"/>
      <c r="Q58" s="204"/>
      <c r="R58" s="204"/>
      <c r="S58" s="204"/>
      <c r="T58" s="205"/>
    </row>
    <row r="59" spans="1:20" ht="19.5" customHeight="1" x14ac:dyDescent="0.2">
      <c r="A59" s="103"/>
      <c r="B59" s="201" t="s">
        <v>126</v>
      </c>
      <c r="C59" s="204"/>
      <c r="D59" s="204"/>
      <c r="E59" s="204"/>
      <c r="F59" s="204"/>
      <c r="G59" s="204"/>
      <c r="H59" s="204"/>
      <c r="I59" s="204"/>
      <c r="J59" s="204"/>
      <c r="K59" s="204"/>
      <c r="L59" s="204"/>
      <c r="M59" s="204"/>
      <c r="N59" s="204"/>
      <c r="O59" s="204"/>
      <c r="P59" s="204"/>
      <c r="Q59" s="204"/>
      <c r="R59" s="204"/>
      <c r="S59" s="204"/>
      <c r="T59" s="205"/>
    </row>
    <row r="60" spans="1:20" ht="19.5" customHeight="1" x14ac:dyDescent="0.2">
      <c r="A60" s="103"/>
      <c r="B60" s="201" t="s">
        <v>128</v>
      </c>
      <c r="C60" s="204"/>
      <c r="D60" s="204"/>
      <c r="E60" s="204"/>
      <c r="F60" s="204"/>
      <c r="G60" s="204"/>
      <c r="H60" s="204"/>
      <c r="I60" s="204"/>
      <c r="J60" s="204"/>
      <c r="K60" s="204"/>
      <c r="L60" s="204"/>
      <c r="M60" s="204"/>
      <c r="N60" s="204"/>
      <c r="O60" s="204"/>
      <c r="P60" s="204"/>
      <c r="Q60" s="204"/>
      <c r="R60" s="204"/>
      <c r="S60" s="204"/>
      <c r="T60" s="205"/>
    </row>
    <row r="61" spans="1:20" ht="19.5" customHeight="1" x14ac:dyDescent="0.2">
      <c r="A61" s="105"/>
      <c r="B61" s="309" t="s">
        <v>119</v>
      </c>
      <c r="C61" s="313"/>
      <c r="D61" s="313"/>
      <c r="E61" s="313"/>
      <c r="F61" s="313"/>
      <c r="G61" s="313"/>
      <c r="H61" s="313"/>
      <c r="I61" s="313"/>
      <c r="J61" s="313"/>
      <c r="K61" s="313"/>
      <c r="L61" s="313"/>
      <c r="M61" s="313"/>
      <c r="N61" s="313"/>
      <c r="O61" s="313"/>
      <c r="P61" s="313"/>
      <c r="Q61" s="313"/>
      <c r="R61" s="313"/>
      <c r="S61" s="313"/>
      <c r="T61" s="326"/>
    </row>
    <row r="62" spans="1:20" ht="19.5" customHeight="1" x14ac:dyDescent="0.2"/>
  </sheetData>
  <sheetProtection sheet="1" selectLockedCells="1"/>
  <mergeCells count="60">
    <mergeCell ref="I26:T26"/>
    <mergeCell ref="A20:B20"/>
    <mergeCell ref="A19:B19"/>
    <mergeCell ref="K20:L20"/>
    <mergeCell ref="E19:O19"/>
    <mergeCell ref="P19:R19"/>
    <mergeCell ref="S19:T19"/>
    <mergeCell ref="I20:J20"/>
    <mergeCell ref="Q20:S20"/>
    <mergeCell ref="F22:T22"/>
    <mergeCell ref="C24:F24"/>
    <mergeCell ref="G24:H24"/>
    <mergeCell ref="C20:D20"/>
    <mergeCell ref="N20:P20"/>
    <mergeCell ref="H21:K21"/>
    <mergeCell ref="P21:T21"/>
    <mergeCell ref="L21:O21"/>
    <mergeCell ref="A25:B25"/>
    <mergeCell ref="E25:T25"/>
    <mergeCell ref="A24:B24"/>
    <mergeCell ref="C21:E21"/>
    <mergeCell ref="F21:G21"/>
    <mergeCell ref="A21:B21"/>
    <mergeCell ref="M24:Q24"/>
    <mergeCell ref="R24:T24"/>
    <mergeCell ref="I24:L24"/>
    <mergeCell ref="A26:B26"/>
    <mergeCell ref="C26:F26"/>
    <mergeCell ref="G26:H26"/>
    <mergeCell ref="K46:T46"/>
    <mergeCell ref="G43:T43"/>
    <mergeCell ref="A29:F30"/>
    <mergeCell ref="E35:F37"/>
    <mergeCell ref="E40:F42"/>
    <mergeCell ref="C36:D42"/>
    <mergeCell ref="A31:B42"/>
    <mergeCell ref="G46:J46"/>
    <mergeCell ref="A46:F46"/>
    <mergeCell ref="J44:M44"/>
    <mergeCell ref="G44:I44"/>
    <mergeCell ref="J45:M45"/>
    <mergeCell ref="G45:I45"/>
    <mergeCell ref="A17:T17"/>
    <mergeCell ref="A2:T2"/>
    <mergeCell ref="I9:K9"/>
    <mergeCell ref="M9:O9"/>
    <mergeCell ref="I11:K11"/>
    <mergeCell ref="I12:K12"/>
    <mergeCell ref="I13:K13"/>
    <mergeCell ref="A15:T16"/>
    <mergeCell ref="L13:S13"/>
    <mergeCell ref="L12:S12"/>
    <mergeCell ref="L11:S11"/>
    <mergeCell ref="L10:S10"/>
    <mergeCell ref="A44:F45"/>
    <mergeCell ref="A43:F43"/>
    <mergeCell ref="H33:T33"/>
    <mergeCell ref="L31:T32"/>
    <mergeCell ref="N45:T45"/>
    <mergeCell ref="N44:T44"/>
  </mergeCells>
  <phoneticPr fontId="3"/>
  <dataValidations count="4">
    <dataValidation type="list" allowBlank="1" showInputMessage="1" showErrorMessage="1" sqref="C20">
      <formula1>"木,鉄骨,鉄筋コンクリート,鉄筋鉄骨コンクリート"</formula1>
    </dataValidation>
    <dataValidation type="list" allowBlank="1" showInputMessage="1" showErrorMessage="1" sqref="G20">
      <formula1>"1,2,3"</formula1>
    </dataValidation>
    <dataValidation type="list" allowBlank="1" showInputMessage="1" showErrorMessage="1" sqref="S19">
      <formula1>"2,3,4,5"</formula1>
    </dataValidation>
    <dataValidation type="whole" operator="greaterThan" allowBlank="1" showInputMessage="1" showErrorMessage="1" error="西暦で入力してください。" sqref="K20">
      <formula1>1000</formula1>
    </dataValidation>
  </dataValidations>
  <printOptions horizontalCentered="1"/>
  <pageMargins left="0.70866141732283472" right="0.70866141732283472" top="0.55118110236220474" bottom="0.35433070866141736" header="0.31496062992125984" footer="0.31496062992125984"/>
  <pageSetup paperSize="9" scale="80" fitToHeight="2" orientation="portrait" r:id="rId1"/>
  <rowBreaks count="1" manualBreakCount="1">
    <brk id="4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0</xdr:col>
                    <xdr:colOff>57150</xdr:colOff>
                    <xdr:row>48</xdr:row>
                    <xdr:rowOff>31750</xdr:rowOff>
                  </from>
                  <to>
                    <xdr:col>0</xdr:col>
                    <xdr:colOff>247650</xdr:colOff>
                    <xdr:row>48</xdr:row>
                    <xdr:rowOff>222250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0</xdr:col>
                    <xdr:colOff>57150</xdr:colOff>
                    <xdr:row>49</xdr:row>
                    <xdr:rowOff>31750</xdr:rowOff>
                  </from>
                  <to>
                    <xdr:col>0</xdr:col>
                    <xdr:colOff>247650</xdr:colOff>
                    <xdr:row>49</xdr:row>
                    <xdr:rowOff>222250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from>
                    <xdr:col>0</xdr:col>
                    <xdr:colOff>57150</xdr:colOff>
                    <xdr:row>50</xdr:row>
                    <xdr:rowOff>31750</xdr:rowOff>
                  </from>
                  <to>
                    <xdr:col>0</xdr:col>
                    <xdr:colOff>247650</xdr:colOff>
                    <xdr:row>50</xdr:row>
                    <xdr:rowOff>222250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from>
                    <xdr:col>6</xdr:col>
                    <xdr:colOff>165100</xdr:colOff>
                    <xdr:row>30</xdr:row>
                    <xdr:rowOff>25400</xdr:rowOff>
                  </from>
                  <to>
                    <xdr:col>6</xdr:col>
                    <xdr:colOff>304800</xdr:colOff>
                    <xdr:row>30</xdr:row>
                    <xdr:rowOff>241300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from>
                    <xdr:col>6</xdr:col>
                    <xdr:colOff>165100</xdr:colOff>
                    <xdr:row>31</xdr:row>
                    <xdr:rowOff>31750</xdr:rowOff>
                  </from>
                  <to>
                    <xdr:col>6</xdr:col>
                    <xdr:colOff>304800</xdr:colOff>
                    <xdr:row>31</xdr:row>
                    <xdr:rowOff>247650</xdr:rowOff>
                  </to>
                </anchor>
              </controlPr>
            </control>
          </mc:Choice>
        </mc:AlternateContent>
        <mc:AlternateContent xmlns:mc="http://schemas.openxmlformats.org/markup-compatibility/2006">
          <mc:Choice Requires="x14">
            <control shapeId="11270" r:id="rId9" name="Check Box 6">
              <controlPr locked="0" defaultSize="0" autoFill="0" autoLine="0" autoPict="0">
                <anchor moveWithCells="1">
                  <from>
                    <xdr:col>6</xdr:col>
                    <xdr:colOff>165100</xdr:colOff>
                    <xdr:row>32</xdr:row>
                    <xdr:rowOff>0</xdr:rowOff>
                  </from>
                  <to>
                    <xdr:col>6</xdr:col>
                    <xdr:colOff>304800</xdr:colOff>
                    <xdr:row>32</xdr:row>
                    <xdr:rowOff>215900</xdr:rowOff>
                  </to>
                </anchor>
              </controlPr>
            </control>
          </mc:Choice>
        </mc:AlternateContent>
        <mc:AlternateContent xmlns:mc="http://schemas.openxmlformats.org/markup-compatibility/2006">
          <mc:Choice Requires="x14">
            <control shapeId="11271" r:id="rId10" name="Check Box 7">
              <controlPr locked="0" defaultSize="0" autoFill="0" autoLine="0" autoPict="0">
                <anchor moveWithCells="1">
                  <from>
                    <xdr:col>6</xdr:col>
                    <xdr:colOff>165100</xdr:colOff>
                    <xdr:row>33</xdr:row>
                    <xdr:rowOff>19050</xdr:rowOff>
                  </from>
                  <to>
                    <xdr:col>6</xdr:col>
                    <xdr:colOff>304800</xdr:colOff>
                    <xdr:row>33</xdr:row>
                    <xdr:rowOff>234950</xdr:rowOff>
                  </to>
                </anchor>
              </controlPr>
            </control>
          </mc:Choice>
        </mc:AlternateContent>
        <mc:AlternateContent xmlns:mc="http://schemas.openxmlformats.org/markup-compatibility/2006">
          <mc:Choice Requires="x14">
            <control shapeId="11275" r:id="rId11" name="Check Box 11">
              <controlPr locked="0" defaultSize="0" autoFill="0" autoLine="0" autoPict="0">
                <anchor moveWithCells="1">
                  <from>
                    <xdr:col>6</xdr:col>
                    <xdr:colOff>165100</xdr:colOff>
                    <xdr:row>28</xdr:row>
                    <xdr:rowOff>12700</xdr:rowOff>
                  </from>
                  <to>
                    <xdr:col>6</xdr:col>
                    <xdr:colOff>304800</xdr:colOff>
                    <xdr:row>28</xdr:row>
                    <xdr:rowOff>228600</xdr:rowOff>
                  </to>
                </anchor>
              </controlPr>
            </control>
          </mc:Choice>
        </mc:AlternateContent>
        <mc:AlternateContent xmlns:mc="http://schemas.openxmlformats.org/markup-compatibility/2006">
          <mc:Choice Requires="x14">
            <control shapeId="11276" r:id="rId12" name="Check Box 12">
              <controlPr locked="0" defaultSize="0" autoFill="0" autoLine="0" autoPict="0">
                <anchor moveWithCells="1">
                  <from>
                    <xdr:col>6</xdr:col>
                    <xdr:colOff>165100</xdr:colOff>
                    <xdr:row>29</xdr:row>
                    <xdr:rowOff>12700</xdr:rowOff>
                  </from>
                  <to>
                    <xdr:col>6</xdr:col>
                    <xdr:colOff>304800</xdr:colOff>
                    <xdr:row>29</xdr:row>
                    <xdr:rowOff>228600</xdr:rowOff>
                  </to>
                </anchor>
              </controlPr>
            </control>
          </mc:Choice>
        </mc:AlternateContent>
        <mc:AlternateContent xmlns:mc="http://schemas.openxmlformats.org/markup-compatibility/2006">
          <mc:Choice Requires="x14">
            <control shapeId="11288" r:id="rId13" name="Check Box 24">
              <controlPr locked="0" defaultSize="0" autoFill="0" autoLine="0" autoPict="0">
                <anchor moveWithCells="1">
                  <from>
                    <xdr:col>0</xdr:col>
                    <xdr:colOff>57150</xdr:colOff>
                    <xdr:row>60</xdr:row>
                    <xdr:rowOff>31750</xdr:rowOff>
                  </from>
                  <to>
                    <xdr:col>0</xdr:col>
                    <xdr:colOff>247650</xdr:colOff>
                    <xdr:row>60</xdr:row>
                    <xdr:rowOff>222250</xdr:rowOff>
                  </to>
                </anchor>
              </controlPr>
            </control>
          </mc:Choice>
        </mc:AlternateContent>
        <mc:AlternateContent xmlns:mc="http://schemas.openxmlformats.org/markup-compatibility/2006">
          <mc:Choice Requires="x14">
            <control shapeId="11289" r:id="rId14" name="Check Box 25">
              <controlPr locked="0" defaultSize="0" autoFill="0" autoLine="0" autoPict="0">
                <anchor moveWithCells="1">
                  <from>
                    <xdr:col>0</xdr:col>
                    <xdr:colOff>57150</xdr:colOff>
                    <xdr:row>59</xdr:row>
                    <xdr:rowOff>31750</xdr:rowOff>
                  </from>
                  <to>
                    <xdr:col>0</xdr:col>
                    <xdr:colOff>247650</xdr:colOff>
                    <xdr:row>59</xdr:row>
                    <xdr:rowOff>222250</xdr:rowOff>
                  </to>
                </anchor>
              </controlPr>
            </control>
          </mc:Choice>
        </mc:AlternateContent>
        <mc:AlternateContent xmlns:mc="http://schemas.openxmlformats.org/markup-compatibility/2006">
          <mc:Choice Requires="x14">
            <control shapeId="11290" r:id="rId15" name="Check Box 26">
              <controlPr locked="0" defaultSize="0" autoFill="0" autoLine="0" autoPict="0">
                <anchor moveWithCells="1">
                  <from>
                    <xdr:col>0</xdr:col>
                    <xdr:colOff>57150</xdr:colOff>
                    <xdr:row>57</xdr:row>
                    <xdr:rowOff>31750</xdr:rowOff>
                  </from>
                  <to>
                    <xdr:col>0</xdr:col>
                    <xdr:colOff>247650</xdr:colOff>
                    <xdr:row>57</xdr:row>
                    <xdr:rowOff>222250</xdr:rowOff>
                  </to>
                </anchor>
              </controlPr>
            </control>
          </mc:Choice>
        </mc:AlternateContent>
        <mc:AlternateContent xmlns:mc="http://schemas.openxmlformats.org/markup-compatibility/2006">
          <mc:Choice Requires="x14">
            <control shapeId="11291" r:id="rId16" name="Check Box 27">
              <controlPr locked="0" defaultSize="0" autoFill="0" autoLine="0" autoPict="0">
                <anchor moveWithCells="1">
                  <from>
                    <xdr:col>0</xdr:col>
                    <xdr:colOff>57150</xdr:colOff>
                    <xdr:row>56</xdr:row>
                    <xdr:rowOff>31750</xdr:rowOff>
                  </from>
                  <to>
                    <xdr:col>0</xdr:col>
                    <xdr:colOff>247650</xdr:colOff>
                    <xdr:row>56</xdr:row>
                    <xdr:rowOff>222250</xdr:rowOff>
                  </to>
                </anchor>
              </controlPr>
            </control>
          </mc:Choice>
        </mc:AlternateContent>
        <mc:AlternateContent xmlns:mc="http://schemas.openxmlformats.org/markup-compatibility/2006">
          <mc:Choice Requires="x14">
            <control shapeId="11292" r:id="rId17" name="Check Box 28">
              <controlPr locked="0" defaultSize="0" autoFill="0" autoLine="0" autoPict="0">
                <anchor moveWithCells="1">
                  <from>
                    <xdr:col>0</xdr:col>
                    <xdr:colOff>57150</xdr:colOff>
                    <xdr:row>55</xdr:row>
                    <xdr:rowOff>31750</xdr:rowOff>
                  </from>
                  <to>
                    <xdr:col>0</xdr:col>
                    <xdr:colOff>247650</xdr:colOff>
                    <xdr:row>55</xdr:row>
                    <xdr:rowOff>222250</xdr:rowOff>
                  </to>
                </anchor>
              </controlPr>
            </control>
          </mc:Choice>
        </mc:AlternateContent>
        <mc:AlternateContent xmlns:mc="http://schemas.openxmlformats.org/markup-compatibility/2006">
          <mc:Choice Requires="x14">
            <control shapeId="11293" r:id="rId18" name="Check Box 29">
              <controlPr locked="0" defaultSize="0" autoFill="0" autoLine="0" autoPict="0">
                <anchor moveWithCells="1">
                  <from>
                    <xdr:col>0</xdr:col>
                    <xdr:colOff>57150</xdr:colOff>
                    <xdr:row>53</xdr:row>
                    <xdr:rowOff>31750</xdr:rowOff>
                  </from>
                  <to>
                    <xdr:col>0</xdr:col>
                    <xdr:colOff>247650</xdr:colOff>
                    <xdr:row>53</xdr:row>
                    <xdr:rowOff>222250</xdr:rowOff>
                  </to>
                </anchor>
              </controlPr>
            </control>
          </mc:Choice>
        </mc:AlternateContent>
        <mc:AlternateContent xmlns:mc="http://schemas.openxmlformats.org/markup-compatibility/2006">
          <mc:Choice Requires="x14">
            <control shapeId="11294" r:id="rId19" name="Check Box 30">
              <controlPr locked="0" defaultSize="0" autoFill="0" autoLine="0" autoPict="0">
                <anchor moveWithCells="1">
                  <from>
                    <xdr:col>0</xdr:col>
                    <xdr:colOff>57150</xdr:colOff>
                    <xdr:row>52</xdr:row>
                    <xdr:rowOff>31750</xdr:rowOff>
                  </from>
                  <to>
                    <xdr:col>0</xdr:col>
                    <xdr:colOff>247650</xdr:colOff>
                    <xdr:row>52</xdr:row>
                    <xdr:rowOff>222250</xdr:rowOff>
                  </to>
                </anchor>
              </controlPr>
            </control>
          </mc:Choice>
        </mc:AlternateContent>
        <mc:AlternateContent xmlns:mc="http://schemas.openxmlformats.org/markup-compatibility/2006">
          <mc:Choice Requires="x14">
            <control shapeId="11295" r:id="rId20" name="Check Box 31">
              <controlPr locked="0" defaultSize="0" autoFill="0" autoLine="0" autoPict="0">
                <anchor moveWithCells="1">
                  <from>
                    <xdr:col>0</xdr:col>
                    <xdr:colOff>57150</xdr:colOff>
                    <xdr:row>51</xdr:row>
                    <xdr:rowOff>31750</xdr:rowOff>
                  </from>
                  <to>
                    <xdr:col>0</xdr:col>
                    <xdr:colOff>247650</xdr:colOff>
                    <xdr:row>51</xdr:row>
                    <xdr:rowOff>222250</xdr:rowOff>
                  </to>
                </anchor>
              </controlPr>
            </control>
          </mc:Choice>
        </mc:AlternateContent>
        <mc:AlternateContent xmlns:mc="http://schemas.openxmlformats.org/markup-compatibility/2006">
          <mc:Choice Requires="x14">
            <control shapeId="11296" r:id="rId21" name="Check Box 32">
              <controlPr locked="0" defaultSize="0" autoFill="0" autoLine="0" autoPict="0">
                <anchor moveWithCells="1">
                  <from>
                    <xdr:col>0</xdr:col>
                    <xdr:colOff>57150</xdr:colOff>
                    <xdr:row>58</xdr:row>
                    <xdr:rowOff>31750</xdr:rowOff>
                  </from>
                  <to>
                    <xdr:col>0</xdr:col>
                    <xdr:colOff>247650</xdr:colOff>
                    <xdr:row>58</xdr:row>
                    <xdr:rowOff>222250</xdr:rowOff>
                  </to>
                </anchor>
              </controlPr>
            </control>
          </mc:Choice>
        </mc:AlternateContent>
        <mc:AlternateContent xmlns:mc="http://schemas.openxmlformats.org/markup-compatibility/2006">
          <mc:Choice Requires="x14">
            <control shapeId="11299" r:id="rId22" name="Check Box 35">
              <controlPr locked="0" defaultSize="0" autoFill="0" autoLine="0" autoPict="0">
                <anchor moveWithCells="1">
                  <from>
                    <xdr:col>0</xdr:col>
                    <xdr:colOff>57150</xdr:colOff>
                    <xdr:row>54</xdr:row>
                    <xdr:rowOff>31750</xdr:rowOff>
                  </from>
                  <to>
                    <xdr:col>0</xdr:col>
                    <xdr:colOff>247650</xdr:colOff>
                    <xdr:row>54</xdr:row>
                    <xdr:rowOff>222250</xdr:rowOff>
                  </to>
                </anchor>
              </controlPr>
            </control>
          </mc:Choice>
        </mc:AlternateContent>
        <mc:AlternateContent xmlns:mc="http://schemas.openxmlformats.org/markup-compatibility/2006">
          <mc:Choice Requires="x14">
            <control shapeId="11302" r:id="rId23" name="Check Box 38">
              <controlPr locked="0" defaultSize="0" autoFill="0" autoLine="0" autoPict="0">
                <anchor moveWithCells="1">
                  <from>
                    <xdr:col>6</xdr:col>
                    <xdr:colOff>165100</xdr:colOff>
                    <xdr:row>34</xdr:row>
                    <xdr:rowOff>31750</xdr:rowOff>
                  </from>
                  <to>
                    <xdr:col>6</xdr:col>
                    <xdr:colOff>304800</xdr:colOff>
                    <xdr:row>34</xdr:row>
                    <xdr:rowOff>247650</xdr:rowOff>
                  </to>
                </anchor>
              </controlPr>
            </control>
          </mc:Choice>
        </mc:AlternateContent>
        <mc:AlternateContent xmlns:mc="http://schemas.openxmlformats.org/markup-compatibility/2006">
          <mc:Choice Requires="x14">
            <control shapeId="11303" r:id="rId24" name="Check Box 39">
              <controlPr locked="0" defaultSize="0" autoFill="0" autoLine="0" autoPict="0">
                <anchor moveWithCells="1">
                  <from>
                    <xdr:col>6</xdr:col>
                    <xdr:colOff>165100</xdr:colOff>
                    <xdr:row>35</xdr:row>
                    <xdr:rowOff>31750</xdr:rowOff>
                  </from>
                  <to>
                    <xdr:col>6</xdr:col>
                    <xdr:colOff>304800</xdr:colOff>
                    <xdr:row>35</xdr:row>
                    <xdr:rowOff>247650</xdr:rowOff>
                  </to>
                </anchor>
              </controlPr>
            </control>
          </mc:Choice>
        </mc:AlternateContent>
        <mc:AlternateContent xmlns:mc="http://schemas.openxmlformats.org/markup-compatibility/2006">
          <mc:Choice Requires="x14">
            <control shapeId="11304" r:id="rId25" name="Check Box 40">
              <controlPr locked="0" defaultSize="0" autoFill="0" autoLine="0" autoPict="0">
                <anchor moveWithCells="1">
                  <from>
                    <xdr:col>6</xdr:col>
                    <xdr:colOff>165100</xdr:colOff>
                    <xdr:row>36</xdr:row>
                    <xdr:rowOff>31750</xdr:rowOff>
                  </from>
                  <to>
                    <xdr:col>6</xdr:col>
                    <xdr:colOff>304800</xdr:colOff>
                    <xdr:row>36</xdr:row>
                    <xdr:rowOff>247650</xdr:rowOff>
                  </to>
                </anchor>
              </controlPr>
            </control>
          </mc:Choice>
        </mc:AlternateContent>
        <mc:AlternateContent xmlns:mc="http://schemas.openxmlformats.org/markup-compatibility/2006">
          <mc:Choice Requires="x14">
            <control shapeId="11305" r:id="rId26" name="Check Box 41">
              <controlPr locked="0" defaultSize="0" autoFill="0" autoLine="0" autoPict="0">
                <anchor moveWithCells="1">
                  <from>
                    <xdr:col>6</xdr:col>
                    <xdr:colOff>165100</xdr:colOff>
                    <xdr:row>37</xdr:row>
                    <xdr:rowOff>31750</xdr:rowOff>
                  </from>
                  <to>
                    <xdr:col>6</xdr:col>
                    <xdr:colOff>304800</xdr:colOff>
                    <xdr:row>37</xdr:row>
                    <xdr:rowOff>247650</xdr:rowOff>
                  </to>
                </anchor>
              </controlPr>
            </control>
          </mc:Choice>
        </mc:AlternateContent>
        <mc:AlternateContent xmlns:mc="http://schemas.openxmlformats.org/markup-compatibility/2006">
          <mc:Choice Requires="x14">
            <control shapeId="11306" r:id="rId27" name="Check Box 42">
              <controlPr locked="0" defaultSize="0" autoFill="0" autoLine="0" autoPict="0">
                <anchor moveWithCells="1">
                  <from>
                    <xdr:col>6</xdr:col>
                    <xdr:colOff>165100</xdr:colOff>
                    <xdr:row>38</xdr:row>
                    <xdr:rowOff>31750</xdr:rowOff>
                  </from>
                  <to>
                    <xdr:col>6</xdr:col>
                    <xdr:colOff>304800</xdr:colOff>
                    <xdr:row>38</xdr:row>
                    <xdr:rowOff>247650</xdr:rowOff>
                  </to>
                </anchor>
              </controlPr>
            </control>
          </mc:Choice>
        </mc:AlternateContent>
        <mc:AlternateContent xmlns:mc="http://schemas.openxmlformats.org/markup-compatibility/2006">
          <mc:Choice Requires="x14">
            <control shapeId="11307" r:id="rId28" name="Check Box 43">
              <controlPr locked="0" defaultSize="0" autoFill="0" autoLine="0" autoPict="0">
                <anchor moveWithCells="1">
                  <from>
                    <xdr:col>6</xdr:col>
                    <xdr:colOff>165100</xdr:colOff>
                    <xdr:row>39</xdr:row>
                    <xdr:rowOff>25400</xdr:rowOff>
                  </from>
                  <to>
                    <xdr:col>6</xdr:col>
                    <xdr:colOff>304800</xdr:colOff>
                    <xdr:row>39</xdr:row>
                    <xdr:rowOff>241300</xdr:rowOff>
                  </to>
                </anchor>
              </controlPr>
            </control>
          </mc:Choice>
        </mc:AlternateContent>
        <mc:AlternateContent xmlns:mc="http://schemas.openxmlformats.org/markup-compatibility/2006">
          <mc:Choice Requires="x14">
            <control shapeId="11308" r:id="rId29" name="Check Box 44">
              <controlPr locked="0" defaultSize="0" autoFill="0" autoLine="0" autoPict="0">
                <anchor moveWithCells="1">
                  <from>
                    <xdr:col>6</xdr:col>
                    <xdr:colOff>165100</xdr:colOff>
                    <xdr:row>40</xdr:row>
                    <xdr:rowOff>31750</xdr:rowOff>
                  </from>
                  <to>
                    <xdr:col>6</xdr:col>
                    <xdr:colOff>304800</xdr:colOff>
                    <xdr:row>40</xdr:row>
                    <xdr:rowOff>247650</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17</xdr:col>
                    <xdr:colOff>127000</xdr:colOff>
                    <xdr:row>23</xdr:row>
                    <xdr:rowOff>25400</xdr:rowOff>
                  </from>
                  <to>
                    <xdr:col>18</xdr:col>
                    <xdr:colOff>76200</xdr:colOff>
                    <xdr:row>24</xdr:row>
                    <xdr:rowOff>12700</xdr:rowOff>
                  </to>
                </anchor>
              </controlPr>
            </control>
          </mc:Choice>
        </mc:AlternateContent>
        <mc:AlternateContent xmlns:mc="http://schemas.openxmlformats.org/markup-compatibility/2006">
          <mc:Choice Requires="x14">
            <control shapeId="11310" r:id="rId31" name="Check Box 46">
              <controlPr defaultSize="0" autoFill="0" autoLine="0" autoPict="0">
                <anchor moveWithCells="1">
                  <from>
                    <xdr:col>18</xdr:col>
                    <xdr:colOff>215900</xdr:colOff>
                    <xdr:row>23</xdr:row>
                    <xdr:rowOff>25400</xdr:rowOff>
                  </from>
                  <to>
                    <xdr:col>19</xdr:col>
                    <xdr:colOff>165100</xdr:colOff>
                    <xdr:row>24</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73"/>
  <sheetViews>
    <sheetView showZeros="0" view="pageBreakPreview" zoomScale="120" zoomScaleNormal="100" zoomScaleSheetLayoutView="120" workbookViewId="0">
      <selection activeCell="O1" sqref="O1"/>
    </sheetView>
  </sheetViews>
  <sheetFormatPr defaultColWidth="8.90625" defaultRowHeight="13" x14ac:dyDescent="0.2"/>
  <cols>
    <col min="1" max="2" width="11.36328125" style="202" customWidth="1"/>
    <col min="3" max="3" width="7.6328125" style="202" customWidth="1"/>
    <col min="4" max="4" width="3.6328125" style="202" customWidth="1"/>
    <col min="5" max="5" width="7.6328125" style="202" customWidth="1"/>
    <col min="6" max="6" width="6.6328125" style="202" customWidth="1"/>
    <col min="7" max="7" width="8.6328125" style="202" customWidth="1"/>
    <col min="8" max="8" width="11.36328125" style="202" customWidth="1"/>
    <col min="9" max="9" width="6.6328125" style="202" customWidth="1"/>
    <col min="10" max="10" width="5.6328125" style="202" customWidth="1"/>
    <col min="11" max="11" width="11.6328125" style="202" customWidth="1"/>
    <col min="12" max="12" width="3.90625" style="202" customWidth="1"/>
    <col min="13" max="13" width="11.6328125" style="202" customWidth="1"/>
    <col min="14" max="14" width="3.90625" style="202" customWidth="1"/>
    <col min="15" max="16" width="8.90625" style="202"/>
    <col min="17" max="17" width="11.08984375" style="202" bestFit="1" customWidth="1"/>
    <col min="18" max="18" width="9" style="202" bestFit="1" customWidth="1"/>
    <col min="19" max="16384" width="8.90625" style="202"/>
  </cols>
  <sheetData>
    <row r="1" spans="1:14" x14ac:dyDescent="0.2">
      <c r="A1" s="202" t="s">
        <v>42</v>
      </c>
    </row>
    <row r="3" spans="1:14" ht="19" x14ac:dyDescent="0.2">
      <c r="A3" s="248" t="s">
        <v>283</v>
      </c>
    </row>
    <row r="5" spans="1:14" s="250" customFormat="1" ht="15" customHeight="1" x14ac:dyDescent="0.2">
      <c r="A5" s="249" t="s">
        <v>144</v>
      </c>
      <c r="H5" s="250" t="s">
        <v>148</v>
      </c>
    </row>
    <row r="6" spans="1:14" ht="15" customHeight="1" x14ac:dyDescent="0.2">
      <c r="A6" s="323" t="s">
        <v>145</v>
      </c>
      <c r="B6" s="323" t="s">
        <v>136</v>
      </c>
      <c r="C6" s="480" t="s">
        <v>139</v>
      </c>
      <c r="D6" s="480"/>
      <c r="E6" s="481" t="s">
        <v>116</v>
      </c>
      <c r="F6" s="481"/>
      <c r="H6" s="329" t="s">
        <v>145</v>
      </c>
      <c r="I6" s="481" t="s">
        <v>250</v>
      </c>
      <c r="J6" s="481"/>
      <c r="K6" s="323" t="s">
        <v>251</v>
      </c>
    </row>
    <row r="7" spans="1:14" ht="15" customHeight="1" x14ac:dyDescent="0.2">
      <c r="A7" s="323" t="str">
        <f>IF(判定!$C$2=TRUE,"あり","なし")</f>
        <v>なし</v>
      </c>
      <c r="B7" s="323" t="str">
        <f>IFERROR(VLOOKUP(TRUE,判定!$C$10:$D$11,2,0),"")</f>
        <v/>
      </c>
      <c r="C7" s="480" t="str">
        <f>IFERROR(VLOOKUP(TRUE,判定!$C$13:$D$14,2,0),"")</f>
        <v/>
      </c>
      <c r="D7" s="480"/>
      <c r="E7" s="481" t="str">
        <f>IFERROR(VLOOKUP(TRUE,判定!$C$5:$D$8,2,0),"")</f>
        <v/>
      </c>
      <c r="F7" s="481"/>
      <c r="H7" s="251">
        <f>$M$16</f>
        <v>0</v>
      </c>
      <c r="I7" s="482">
        <f>M57</f>
        <v>0</v>
      </c>
      <c r="J7" s="483"/>
      <c r="K7" s="328">
        <f>$M$16+$M$57</f>
        <v>0</v>
      </c>
    </row>
    <row r="8" spans="1:14" ht="15" customHeight="1" x14ac:dyDescent="0.2"/>
    <row r="9" spans="1:14" ht="15" customHeight="1" x14ac:dyDescent="0.2">
      <c r="A9" s="252" t="s">
        <v>264</v>
      </c>
    </row>
    <row r="10" spans="1:14" ht="15" customHeight="1" x14ac:dyDescent="0.2">
      <c r="A10" s="481" t="s">
        <v>111</v>
      </c>
      <c r="B10" s="481"/>
      <c r="C10" s="481"/>
      <c r="D10" s="481"/>
      <c r="E10" s="481"/>
      <c r="F10" s="481"/>
      <c r="G10" s="481"/>
      <c r="H10" s="481"/>
      <c r="I10" s="481"/>
      <c r="J10" s="481"/>
      <c r="K10" s="481"/>
      <c r="L10" s="481"/>
      <c r="M10" s="488" t="s">
        <v>112</v>
      </c>
      <c r="N10" s="489"/>
    </row>
    <row r="11" spans="1:14" ht="15" customHeight="1" x14ac:dyDescent="0.2">
      <c r="A11" s="490" t="s">
        <v>230</v>
      </c>
      <c r="B11" s="491"/>
      <c r="C11" s="492"/>
      <c r="D11" s="490"/>
      <c r="E11" s="491"/>
      <c r="F11" s="491"/>
      <c r="G11" s="491"/>
      <c r="H11" s="491"/>
      <c r="I11" s="491"/>
      <c r="J11" s="491"/>
      <c r="K11" s="491"/>
      <c r="L11" s="492"/>
      <c r="M11" s="253">
        <f>'様式１ー２　費用等明細'!$E$6</f>
        <v>0</v>
      </c>
      <c r="N11" s="329" t="s">
        <v>100</v>
      </c>
    </row>
    <row r="12" spans="1:14" ht="15" customHeight="1" x14ac:dyDescent="0.2">
      <c r="A12" s="490" t="s">
        <v>229</v>
      </c>
      <c r="B12" s="491"/>
      <c r="C12" s="492"/>
      <c r="D12" s="490"/>
      <c r="E12" s="491"/>
      <c r="F12" s="491"/>
      <c r="G12" s="491"/>
      <c r="H12" s="491"/>
      <c r="I12" s="491"/>
      <c r="J12" s="491"/>
      <c r="K12" s="491"/>
      <c r="L12" s="492"/>
      <c r="M12" s="253">
        <f>'様式１ー２　費用等明細'!$E$7</f>
        <v>0</v>
      </c>
      <c r="N12" s="329" t="s">
        <v>100</v>
      </c>
    </row>
    <row r="13" spans="1:14" ht="15" customHeight="1" x14ac:dyDescent="0.2">
      <c r="A13" s="490" t="s">
        <v>228</v>
      </c>
      <c r="B13" s="491"/>
      <c r="C13" s="492"/>
      <c r="D13" s="490"/>
      <c r="E13" s="491"/>
      <c r="F13" s="491"/>
      <c r="G13" s="491"/>
      <c r="H13" s="491"/>
      <c r="I13" s="491"/>
      <c r="J13" s="491"/>
      <c r="K13" s="491"/>
      <c r="L13" s="492"/>
      <c r="M13" s="253">
        <f>'様式１ー２　費用等明細'!$E$8</f>
        <v>0</v>
      </c>
      <c r="N13" s="329" t="s">
        <v>100</v>
      </c>
    </row>
    <row r="14" spans="1:14" ht="15" customHeight="1" x14ac:dyDescent="0.2">
      <c r="A14" s="493" t="s">
        <v>255</v>
      </c>
      <c r="B14" s="494"/>
      <c r="C14" s="495"/>
      <c r="D14" s="499" t="s">
        <v>254</v>
      </c>
      <c r="E14" s="500"/>
      <c r="F14" s="500"/>
      <c r="G14" s="500"/>
      <c r="H14" s="500"/>
      <c r="I14" s="500"/>
      <c r="J14" s="500"/>
      <c r="K14" s="500"/>
      <c r="L14" s="500"/>
      <c r="M14" s="501">
        <f>SUM(M11:M13)</f>
        <v>0</v>
      </c>
      <c r="N14" s="484" t="s">
        <v>100</v>
      </c>
    </row>
    <row r="15" spans="1:14" ht="15" customHeight="1" thickBot="1" x14ac:dyDescent="0.25">
      <c r="A15" s="496"/>
      <c r="B15" s="497"/>
      <c r="C15" s="498"/>
      <c r="D15" s="486">
        <f>IF(SUM($M$11:$M$13)&gt;0,IF($M$11&gt;0,TEXT($M$11,"#,#"),0)&amp;"  +  "&amp;IF($M$12&gt;0,TEXT($M$12,"#,#"),0)&amp;"  +  "&amp;IF($M$13&gt;0,TEXT($M$13,"#,#"),0)&amp;"  =  "&amp;TEXT(ROUNDDOWN(($M$11+$M$12+$M$13),0),"#,#"),0)</f>
        <v>0</v>
      </c>
      <c r="E15" s="487"/>
      <c r="F15" s="487"/>
      <c r="G15" s="487"/>
      <c r="H15" s="487"/>
      <c r="I15" s="487"/>
      <c r="J15" s="487"/>
      <c r="K15" s="487"/>
      <c r="L15" s="487"/>
      <c r="M15" s="502"/>
      <c r="N15" s="485"/>
    </row>
    <row r="16" spans="1:14" ht="15" customHeight="1" x14ac:dyDescent="0.2">
      <c r="A16" s="508" t="s">
        <v>263</v>
      </c>
      <c r="B16" s="508"/>
      <c r="C16" s="508"/>
      <c r="D16" s="509" t="s">
        <v>270</v>
      </c>
      <c r="E16" s="509"/>
      <c r="F16" s="509"/>
      <c r="G16" s="509"/>
      <c r="H16" s="509"/>
      <c r="I16" s="509"/>
      <c r="J16" s="509"/>
      <c r="K16" s="509"/>
      <c r="L16" s="510"/>
      <c r="M16" s="511">
        <f>IF(AND($M$14&gt;0,$M$14&lt;1500),"0",MIN(ROUNDDOWN(M14*2/3,-3),22000))</f>
        <v>0</v>
      </c>
      <c r="N16" s="492" t="s">
        <v>100</v>
      </c>
    </row>
    <row r="17" spans="1:16" ht="15" customHeight="1" thickBot="1" x14ac:dyDescent="0.25">
      <c r="A17" s="508"/>
      <c r="B17" s="508"/>
      <c r="C17" s="508"/>
      <c r="D17" s="486">
        <f>IF($M$14&gt;0,TEXT($M$14,"#,#")&amp;" × 2/3 ≒ "&amp;IF($M$14&lt;1500,0,TEXT(ROUNDDOWN($M$14*2/3,-3),"#,#"))&amp;"  、  22,000",0)</f>
        <v>0</v>
      </c>
      <c r="E17" s="487"/>
      <c r="F17" s="487"/>
      <c r="G17" s="487"/>
      <c r="H17" s="487"/>
      <c r="I17" s="487"/>
      <c r="J17" s="487"/>
      <c r="K17" s="487"/>
      <c r="L17" s="487"/>
      <c r="M17" s="512"/>
      <c r="N17" s="492"/>
    </row>
    <row r="18" spans="1:16" ht="15" customHeight="1" x14ac:dyDescent="0.2"/>
    <row r="19" spans="1:16" ht="15" customHeight="1" x14ac:dyDescent="0.2">
      <c r="A19" s="252" t="s">
        <v>282</v>
      </c>
    </row>
    <row r="20" spans="1:16" ht="30" customHeight="1" x14ac:dyDescent="0.2">
      <c r="A20" s="503" t="s">
        <v>85</v>
      </c>
      <c r="B20" s="504"/>
      <c r="C20" s="504"/>
      <c r="D20" s="504"/>
      <c r="E20" s="505"/>
      <c r="F20" s="503" t="str">
        <f>"モデル工事費単価"&amp;CHAR(10)&amp;"（"&amp;B7&amp;"）"</f>
        <v>モデル工事費単価
（）</v>
      </c>
      <c r="G20" s="504"/>
      <c r="H20" s="505"/>
      <c r="I20" s="503" t="s">
        <v>87</v>
      </c>
      <c r="J20" s="505"/>
      <c r="K20" s="506" t="s">
        <v>146</v>
      </c>
      <c r="L20" s="507"/>
      <c r="M20" s="503" t="s">
        <v>88</v>
      </c>
      <c r="N20" s="505"/>
      <c r="O20" s="254"/>
      <c r="P20" s="254"/>
    </row>
    <row r="21" spans="1:16" ht="15" customHeight="1" x14ac:dyDescent="0.2">
      <c r="A21" s="522" t="s">
        <v>280</v>
      </c>
      <c r="B21" s="523" t="s">
        <v>153</v>
      </c>
      <c r="C21" s="522" t="s">
        <v>22</v>
      </c>
      <c r="D21" s="516" t="s">
        <v>49</v>
      </c>
      <c r="E21" s="517"/>
      <c r="F21" s="321" t="s">
        <v>90</v>
      </c>
      <c r="G21" s="255" t="str">
        <f>IF($B$7="省エネ基準",判定!$H4,IF($B$7="ZEH水準",判定!$I4,""))</f>
        <v/>
      </c>
      <c r="H21" s="321" t="s">
        <v>93</v>
      </c>
      <c r="I21" s="256">
        <f>ROUNDDOWN(SUMIFS('様式１ー２　費用等明細'!$L$15:$L$214,'様式１ー２　費用等明細'!$D$15:$D$214,判定!$L$2,'様式１ー２　費用等明細'!$J$15:$J$214,判定!$O$6),0)</f>
        <v>0</v>
      </c>
      <c r="J21" s="321" t="s">
        <v>94</v>
      </c>
      <c r="K21" s="255" t="str">
        <f>IFERROR(G21*I21,"")</f>
        <v/>
      </c>
      <c r="L21" s="321" t="s">
        <v>100</v>
      </c>
      <c r="M21" s="513"/>
      <c r="N21" s="321" t="s">
        <v>100</v>
      </c>
      <c r="O21" s="254"/>
      <c r="P21" s="254"/>
    </row>
    <row r="22" spans="1:16" ht="15" customHeight="1" x14ac:dyDescent="0.2">
      <c r="A22" s="522"/>
      <c r="B22" s="523"/>
      <c r="C22" s="522"/>
      <c r="D22" s="518"/>
      <c r="E22" s="519"/>
      <c r="F22" s="321" t="s">
        <v>91</v>
      </c>
      <c r="G22" s="255" t="str">
        <f>IF($B$7="省エネ基準",判定!$H5,IF($B$7="ZEH水準",判定!$I5,""))</f>
        <v/>
      </c>
      <c r="H22" s="321" t="s">
        <v>93</v>
      </c>
      <c r="I22" s="256">
        <f>ROUNDDOWN(SUMIFS('様式１ー２　費用等明細'!$L$15:$L$214,'様式１ー２　費用等明細'!$D$15:$D$214,判定!$L$2,'様式１ー２　費用等明細'!$J$15:$J$214,判定!$O$5),0)</f>
        <v>0</v>
      </c>
      <c r="J22" s="321" t="s">
        <v>94</v>
      </c>
      <c r="K22" s="255" t="str">
        <f t="shared" ref="K22:K34" si="0">IFERROR(G22*I22,"")</f>
        <v/>
      </c>
      <c r="L22" s="321" t="s">
        <v>100</v>
      </c>
      <c r="M22" s="514"/>
      <c r="N22" s="321" t="s">
        <v>100</v>
      </c>
      <c r="O22" s="254"/>
      <c r="P22" s="254"/>
    </row>
    <row r="23" spans="1:16" ht="15" customHeight="1" x14ac:dyDescent="0.2">
      <c r="A23" s="522"/>
      <c r="B23" s="523"/>
      <c r="C23" s="522"/>
      <c r="D23" s="520"/>
      <c r="E23" s="521"/>
      <c r="F23" s="321" t="s">
        <v>92</v>
      </c>
      <c r="G23" s="255" t="str">
        <f>IF($B$7="省エネ基準",判定!$H6,IF($B$7="ZEH水準",判定!$I6,""))</f>
        <v/>
      </c>
      <c r="H23" s="321" t="s">
        <v>93</v>
      </c>
      <c r="I23" s="256">
        <f>ROUNDDOWN(SUMIFS('様式１ー２　費用等明細'!$L$15:$L$214,'様式１ー２　費用等明細'!$D$15:$D$214,判定!$L$2,'様式１ー２　費用等明細'!$J$15:$J$214,判定!$O$4),0)</f>
        <v>0</v>
      </c>
      <c r="J23" s="321" t="s">
        <v>94</v>
      </c>
      <c r="K23" s="255" t="str">
        <f t="shared" si="0"/>
        <v/>
      </c>
      <c r="L23" s="321" t="s">
        <v>100</v>
      </c>
      <c r="M23" s="514"/>
      <c r="N23" s="321" t="s">
        <v>100</v>
      </c>
      <c r="O23" s="254"/>
      <c r="P23" s="254"/>
    </row>
    <row r="24" spans="1:16" ht="15" customHeight="1" x14ac:dyDescent="0.2">
      <c r="A24" s="522"/>
      <c r="B24" s="523"/>
      <c r="C24" s="522"/>
      <c r="D24" s="516" t="s">
        <v>152</v>
      </c>
      <c r="E24" s="517"/>
      <c r="F24" s="321" t="s">
        <v>90</v>
      </c>
      <c r="G24" s="255" t="str">
        <f>IF($B$7="省エネ基準",判定!$H7,IF($B$7="ZEH水準",判定!$I7,""))</f>
        <v/>
      </c>
      <c r="H24" s="321" t="s">
        <v>99</v>
      </c>
      <c r="I24" s="256">
        <f>ROUNDDOWN(SUMIFS('様式１ー２　費用等明細'!$L$15:$L$214,'様式１ー２　費用等明細'!$D$15:$D$214,判定!$L$3,'様式１ー２　費用等明細'!$J$15:$J$214,判定!$O$6)+SUMIFS('様式１ー２　費用等明細'!$L$15:$L$214,'様式１ー２　費用等明細'!$D$15:$D$214,判定!$L$4,'様式１ー２　費用等明細'!$J$15:$J$214,判定!$O$6),0)</f>
        <v>0</v>
      </c>
      <c r="J24" s="321" t="s">
        <v>23</v>
      </c>
      <c r="K24" s="255" t="str">
        <f t="shared" si="0"/>
        <v/>
      </c>
      <c r="L24" s="321" t="s">
        <v>100</v>
      </c>
      <c r="M24" s="514"/>
      <c r="N24" s="321" t="s">
        <v>100</v>
      </c>
      <c r="O24" s="254"/>
    </row>
    <row r="25" spans="1:16" ht="15" customHeight="1" x14ac:dyDescent="0.2">
      <c r="A25" s="522"/>
      <c r="B25" s="523"/>
      <c r="C25" s="522"/>
      <c r="D25" s="518"/>
      <c r="E25" s="519"/>
      <c r="F25" s="321" t="s">
        <v>91</v>
      </c>
      <c r="G25" s="255" t="str">
        <f>IF($B$7="省エネ基準",判定!$H8,IF($B$7="ZEH水準",判定!$I8,""))</f>
        <v/>
      </c>
      <c r="H25" s="321" t="s">
        <v>99</v>
      </c>
      <c r="I25" s="256">
        <f>ROUNDDOWN(SUMIFS('様式１ー２　費用等明細'!$L$15:$L$214,'様式１ー２　費用等明細'!$D$15:$D$214,判定!$L$3,'様式１ー２　費用等明細'!$J$15:$J$214,判定!$O$5)+SUMIFS('様式１ー２　費用等明細'!$L$15:$L$214,'様式１ー２　費用等明細'!$D$15:$D$214,判定!$L$4,'様式１ー２　費用等明細'!$J$15:$J$214,判定!$O$5),0)</f>
        <v>0</v>
      </c>
      <c r="J25" s="321" t="s">
        <v>23</v>
      </c>
      <c r="K25" s="255" t="str">
        <f t="shared" si="0"/>
        <v/>
      </c>
      <c r="L25" s="321" t="s">
        <v>100</v>
      </c>
      <c r="M25" s="514"/>
      <c r="N25" s="321" t="s">
        <v>100</v>
      </c>
      <c r="O25" s="254"/>
      <c r="P25" s="254"/>
    </row>
    <row r="26" spans="1:16" ht="15" customHeight="1" x14ac:dyDescent="0.2">
      <c r="A26" s="522"/>
      <c r="B26" s="523"/>
      <c r="C26" s="522"/>
      <c r="D26" s="520"/>
      <c r="E26" s="521"/>
      <c r="F26" s="321" t="s">
        <v>92</v>
      </c>
      <c r="G26" s="255" t="str">
        <f>IF($B$7="省エネ基準",判定!$H9,IF($B$7="ZEH水準",判定!$I9,""))</f>
        <v/>
      </c>
      <c r="H26" s="321" t="s">
        <v>99</v>
      </c>
      <c r="I26" s="256">
        <f>ROUNDDOWN(SUMIFS('様式１ー２　費用等明細'!$L$15:$L$214,'様式１ー２　費用等明細'!$D$15:$D$214,判定!$L$3,'様式１ー２　費用等明細'!$J$15:$J$214,判定!$O$4)+SUMIFS('様式１ー２　費用等明細'!$L$15:$L$214,'様式１ー２　費用等明細'!$D$15:$D$214,判定!$L$4,'様式１ー２　費用等明細'!$J$15:$J$214,判定!$O$4),0)</f>
        <v>0</v>
      </c>
      <c r="J26" s="321" t="s">
        <v>23</v>
      </c>
      <c r="K26" s="255" t="str">
        <f t="shared" si="0"/>
        <v/>
      </c>
      <c r="L26" s="321" t="s">
        <v>100</v>
      </c>
      <c r="M26" s="514"/>
      <c r="N26" s="321" t="s">
        <v>100</v>
      </c>
      <c r="O26" s="254"/>
      <c r="P26" s="254"/>
    </row>
    <row r="27" spans="1:16" ht="15" customHeight="1" x14ac:dyDescent="0.2">
      <c r="A27" s="522"/>
      <c r="B27" s="523"/>
      <c r="C27" s="522" t="s">
        <v>86</v>
      </c>
      <c r="D27" s="516" t="s">
        <v>89</v>
      </c>
      <c r="E27" s="517"/>
      <c r="F27" s="321" t="s">
        <v>90</v>
      </c>
      <c r="G27" s="255" t="str">
        <f>IF($B$7="省エネ基準",判定!$H10,IF($B$7="ZEH水準",判定!$I10,""))</f>
        <v/>
      </c>
      <c r="H27" s="321" t="s">
        <v>99</v>
      </c>
      <c r="I27" s="256">
        <f>ROUNDDOWN(SUMIFS('様式１ー２　費用等明細'!$L$15:$L$214,'様式１ー２　費用等明細'!$D$15:$D$214,判定!$L$5,'様式１ー２　費用等明細'!$J$15:$J$214,判定!$O$6)+SUMIFS('様式１ー２　費用等明細'!$L$15:$L$214,'様式１ー２　費用等明細'!$D$15:$D$214,判定!$L$6,'様式１ー２　費用等明細'!$J$15:$J$214,判定!$O$6),0)</f>
        <v>0</v>
      </c>
      <c r="J27" s="321" t="s">
        <v>23</v>
      </c>
      <c r="K27" s="255" t="str">
        <f t="shared" si="0"/>
        <v/>
      </c>
      <c r="L27" s="321" t="s">
        <v>100</v>
      </c>
      <c r="M27" s="514"/>
      <c r="N27" s="321" t="s">
        <v>100</v>
      </c>
      <c r="O27" s="254"/>
      <c r="P27" s="254"/>
    </row>
    <row r="28" spans="1:16" ht="15" customHeight="1" x14ac:dyDescent="0.2">
      <c r="A28" s="522"/>
      <c r="B28" s="523"/>
      <c r="C28" s="522"/>
      <c r="D28" s="520"/>
      <c r="E28" s="521"/>
      <c r="F28" s="321" t="s">
        <v>92</v>
      </c>
      <c r="G28" s="255" t="str">
        <f>IF($B$7="省エネ基準",判定!$H11,IF($B$7="ZEH水準",判定!$I11,""))</f>
        <v/>
      </c>
      <c r="H28" s="321" t="s">
        <v>99</v>
      </c>
      <c r="I28" s="256">
        <f>ROUNDDOWN(SUMIFS('様式１ー２　費用等明細'!$L$15:$L$214,'様式１ー２　費用等明細'!$D$15:$D$214,判定!$L$5,'様式１ー２　費用等明細'!$J$15:$J$214,判定!$O$4)+SUMIFS('様式１ー２　費用等明細'!$L$15:$L$214,'様式１ー２　費用等明細'!$D$15:$D$214,判定!$L$6,'様式１ー２　費用等明細'!$J$15:$J$214,判定!$O$4),0)</f>
        <v>0</v>
      </c>
      <c r="J28" s="321" t="s">
        <v>23</v>
      </c>
      <c r="K28" s="255" t="str">
        <f t="shared" si="0"/>
        <v/>
      </c>
      <c r="L28" s="321" t="s">
        <v>100</v>
      </c>
      <c r="M28" s="514"/>
      <c r="N28" s="321" t="s">
        <v>100</v>
      </c>
      <c r="O28" s="254"/>
      <c r="P28" s="254"/>
    </row>
    <row r="29" spans="1:16" ht="15" customHeight="1" x14ac:dyDescent="0.2">
      <c r="A29" s="522"/>
      <c r="B29" s="523" t="s">
        <v>154</v>
      </c>
      <c r="C29" s="523"/>
      <c r="D29" s="516" t="s">
        <v>95</v>
      </c>
      <c r="E29" s="517"/>
      <c r="F29" s="321" t="s">
        <v>97</v>
      </c>
      <c r="G29" s="255" t="str">
        <f>IF($B$7="省エネ基準",判定!$H12,IF($B$7="ZEH水準",判定!$I12,""))</f>
        <v/>
      </c>
      <c r="H29" s="321" t="s">
        <v>130</v>
      </c>
      <c r="I29" s="256">
        <f>ROUNDDOWN(SUMIFS('様式１ー２　費用等明細'!$I$15:$I$214,'様式１ー２　費用等明細'!$D$15:$D$214,判定!$L$7,'様式１ー２　費用等明細'!$K$15:$K$214,判定!$AD$2)+SUMIFS('様式１ー２　費用等明細'!$I$15:$I$214,'様式１ー２　費用等明細'!$D$15:$D$214,判定!$L$7,'様式１ー２　費用等明細'!$K$15:$K$214,判定!$AD$3)+SUMIFS('様式１ー２　費用等明細'!$I$15:$I$214,'様式１ー２　費用等明細'!$D$15:$D$214,判定!$L$7,'様式１ー２　費用等明細'!$K$15:$K$214,判定!$AD$4)+SUMIFS('様式１ー２　費用等明細'!$I$15:$I$214,'様式１ー２　費用等明細'!$D$15:$D$214,判定!$L$7,'様式１ー２　費用等明細'!$K$15:$K$214,判定!$AD$5),1)</f>
        <v>0</v>
      </c>
      <c r="J29" s="321" t="s">
        <v>131</v>
      </c>
      <c r="K29" s="255" t="str">
        <f t="shared" si="0"/>
        <v/>
      </c>
      <c r="L29" s="321" t="s">
        <v>100</v>
      </c>
      <c r="M29" s="514"/>
      <c r="N29" s="321" t="s">
        <v>100</v>
      </c>
      <c r="O29" s="254"/>
      <c r="P29" s="254"/>
    </row>
    <row r="30" spans="1:16" ht="15" customHeight="1" x14ac:dyDescent="0.2">
      <c r="A30" s="522"/>
      <c r="B30" s="523"/>
      <c r="C30" s="523"/>
      <c r="D30" s="520"/>
      <c r="E30" s="521"/>
      <c r="F30" s="321" t="s">
        <v>98</v>
      </c>
      <c r="G30" s="255" t="str">
        <f>IF($B$7="省エネ基準",判定!$H13,IF($B$7="ZEH水準",判定!$I13,""))</f>
        <v/>
      </c>
      <c r="H30" s="321" t="s">
        <v>130</v>
      </c>
      <c r="I30" s="256">
        <f>ROUNDDOWN(SUMIFS('様式１ー２　費用等明細'!$I$15:$I$214,'様式１ー２　費用等明細'!$D$15:$D$214,判定!$L$7,'様式１ー２　費用等明細'!$K$15:$K$214,判定!$AD$6)+SUMIFS('様式１ー２　費用等明細'!$I$15:$I$214,'様式１ー２　費用等明細'!$D$15:$D$214,判定!$L$7,'様式１ー２　費用等明細'!$K$15:$K$214,判定!$AD$7)+SUMIFS('様式１ー２　費用等明細'!$I$15:$I$214,'様式１ー２　費用等明細'!$D$15:$D$214,判定!$L$7,'様式１ー２　費用等明細'!$K$15:$K$214,判定!$AD$8),1)</f>
        <v>0</v>
      </c>
      <c r="J30" s="321" t="s">
        <v>131</v>
      </c>
      <c r="K30" s="255" t="str">
        <f t="shared" si="0"/>
        <v/>
      </c>
      <c r="L30" s="321" t="s">
        <v>100</v>
      </c>
      <c r="M30" s="514"/>
      <c r="N30" s="321" t="s">
        <v>100</v>
      </c>
      <c r="O30" s="254"/>
      <c r="P30" s="254"/>
    </row>
    <row r="31" spans="1:16" ht="15" customHeight="1" x14ac:dyDescent="0.2">
      <c r="A31" s="522"/>
      <c r="B31" s="523"/>
      <c r="C31" s="523"/>
      <c r="D31" s="516" t="s">
        <v>96</v>
      </c>
      <c r="E31" s="517"/>
      <c r="F31" s="321" t="s">
        <v>97</v>
      </c>
      <c r="G31" s="255" t="str">
        <f>IF($B$7="省エネ基準",判定!$H14,IF($B$7="ZEH水準",判定!$I14,""))</f>
        <v/>
      </c>
      <c r="H31" s="321" t="s">
        <v>130</v>
      </c>
      <c r="I31" s="256">
        <f>ROUNDDOWN(SUMIFS('様式１ー２　費用等明細'!$I$15:$I$214,'様式１ー２　費用等明細'!$D$15:$D$214,判定!$L$8,'様式１ー２　費用等明細'!$K$15:$K$214,判定!$AD$2)+SUMIFS('様式１ー２　費用等明細'!$I$15:$I$214,'様式１ー２　費用等明細'!$D$15:$D$214,判定!$L$8,'様式１ー２　費用等明細'!$K$15:$K$214,判定!$AD$3)+SUMIFS('様式１ー２　費用等明細'!$I$15:$I$214,'様式１ー２　費用等明細'!$D$15:$D$214,判定!$L$8,'様式１ー２　費用等明細'!$K$15:$K$214,判定!$AD$4)+SUMIFS('様式１ー２　費用等明細'!$I$15:$I$214,'様式１ー２　費用等明細'!$D$15:$D$214,判定!$L$8,'様式１ー２　費用等明細'!$K$15:$K$214,判定!$AD$5),1)</f>
        <v>0</v>
      </c>
      <c r="J31" s="321" t="s">
        <v>131</v>
      </c>
      <c r="K31" s="255" t="str">
        <f t="shared" si="0"/>
        <v/>
      </c>
      <c r="L31" s="321" t="s">
        <v>100</v>
      </c>
      <c r="M31" s="514"/>
      <c r="N31" s="321" t="s">
        <v>100</v>
      </c>
      <c r="O31" s="254"/>
      <c r="P31" s="254"/>
    </row>
    <row r="32" spans="1:16" ht="15" customHeight="1" x14ac:dyDescent="0.2">
      <c r="A32" s="522"/>
      <c r="B32" s="523"/>
      <c r="C32" s="523"/>
      <c r="D32" s="520"/>
      <c r="E32" s="521"/>
      <c r="F32" s="321" t="s">
        <v>98</v>
      </c>
      <c r="G32" s="255" t="str">
        <f>IF($B$7="省エネ基準",判定!$H15,IF($B$7="ZEH水準",判定!$I15,""))</f>
        <v/>
      </c>
      <c r="H32" s="321" t="s">
        <v>130</v>
      </c>
      <c r="I32" s="256">
        <f>ROUNDDOWN(SUMIFS('様式１ー２　費用等明細'!$I$15:$I$214,'様式１ー２　費用等明細'!$D$15:$D$214,判定!$L$8,'様式１ー２　費用等明細'!$K$15:$K$214,判定!$AD$6)+SUMIFS('様式１ー２　費用等明細'!$I$15:$I$214,'様式１ー２　費用等明細'!$D$15:$D$214,判定!$L$8,'様式１ー２　費用等明細'!$K$15:$K$214,判定!$AD$7)+SUMIFS('様式１ー２　費用等明細'!$I$15:$I$214,'様式１ー２　費用等明細'!$D$15:$D$214,判定!$L$8,'様式１ー２　費用等明細'!$K$15:$K$214,判定!$AD$8),1)</f>
        <v>0</v>
      </c>
      <c r="J32" s="321" t="s">
        <v>131</v>
      </c>
      <c r="K32" s="255" t="str">
        <f t="shared" si="0"/>
        <v/>
      </c>
      <c r="L32" s="321" t="s">
        <v>100</v>
      </c>
      <c r="M32" s="514"/>
      <c r="N32" s="321" t="s">
        <v>100</v>
      </c>
      <c r="O32" s="254"/>
      <c r="P32" s="254"/>
    </row>
    <row r="33" spans="1:17" ht="15" customHeight="1" x14ac:dyDescent="0.2">
      <c r="A33" s="522"/>
      <c r="B33" s="523"/>
      <c r="C33" s="523"/>
      <c r="D33" s="516" t="s">
        <v>27</v>
      </c>
      <c r="E33" s="517"/>
      <c r="F33" s="321" t="s">
        <v>97</v>
      </c>
      <c r="G33" s="255" t="str">
        <f>IF($B$7="省エネ基準",判定!$H16,IF($B$7="ZEH水準",判定!$I16,""))</f>
        <v/>
      </c>
      <c r="H33" s="321" t="s">
        <v>130</v>
      </c>
      <c r="I33" s="256">
        <f>ROUNDDOWN(SUMIFS('様式１ー２　費用等明細'!$I$15:$I$214,'様式１ー２　費用等明細'!$D$15:$D$214,判定!$L$9,'様式１ー２　費用等明細'!$K$15:$K$214,判定!$AD$2)+SUMIFS('様式１ー２　費用等明細'!$I$15:$I$214,'様式１ー２　費用等明細'!$D$15:$D$214,判定!$L$9,'様式１ー２　費用等明細'!$K$15:$K$214,判定!$AD$3)+SUMIFS('様式１ー２　費用等明細'!$I$15:$I$214,'様式１ー２　費用等明細'!$D$15:$D$214,判定!$L$9,'様式１ー２　費用等明細'!$K$15:$K$214,判定!$AD$4)+SUMIFS('様式１ー２　費用等明細'!$I$15:$I$214,'様式１ー２　費用等明細'!$D$15:$D$214,判定!$L$9,'様式１ー２　費用等明細'!$K$15:$K$214,判定!$AD$5),1)</f>
        <v>0</v>
      </c>
      <c r="J33" s="321" t="s">
        <v>131</v>
      </c>
      <c r="K33" s="255" t="str">
        <f t="shared" si="0"/>
        <v/>
      </c>
      <c r="L33" s="321" t="s">
        <v>100</v>
      </c>
      <c r="M33" s="514"/>
      <c r="N33" s="321" t="s">
        <v>100</v>
      </c>
      <c r="O33" s="254"/>
      <c r="P33" s="254"/>
    </row>
    <row r="34" spans="1:17" ht="15" customHeight="1" thickBot="1" x14ac:dyDescent="0.25">
      <c r="A34" s="522"/>
      <c r="B34" s="524"/>
      <c r="C34" s="524"/>
      <c r="D34" s="525"/>
      <c r="E34" s="526"/>
      <c r="F34" s="317" t="s">
        <v>98</v>
      </c>
      <c r="G34" s="318" t="str">
        <f>IF($B$7="省エネ基準",判定!$H17,IF($B$7="ZEH水準",判定!$I17,""))</f>
        <v/>
      </c>
      <c r="H34" s="317" t="s">
        <v>130</v>
      </c>
      <c r="I34" s="256">
        <f>ROUNDDOWN(SUMIFS('様式１ー２　費用等明細'!$I$15:$I$214,'様式１ー２　費用等明細'!$D$15:$D$214,判定!$L$9,'様式１ー２　費用等明細'!$K$15:$K$214,判定!$AD$6)+SUMIFS('様式１ー２　費用等明細'!$I$15:$I$214,'様式１ー２　費用等明細'!$D$15:$D$214,判定!$L$9,'様式１ー２　費用等明細'!$K$15:$K$214,判定!$AD$7)+SUMIFS('様式１ー２　費用等明細'!$I$15:$I$214,'様式１ー２　費用等明細'!$D$15:$D$214,判定!$L$9,'様式１ー２　費用等明細'!$K$15:$K$214,判定!$AD$8),1)</f>
        <v>0</v>
      </c>
      <c r="J34" s="317" t="s">
        <v>131</v>
      </c>
      <c r="K34" s="257" t="str">
        <f t="shared" si="0"/>
        <v/>
      </c>
      <c r="L34" s="258" t="s">
        <v>100</v>
      </c>
      <c r="M34" s="515"/>
      <c r="N34" s="258" t="s">
        <v>100</v>
      </c>
      <c r="O34" s="254"/>
      <c r="P34" s="254"/>
    </row>
    <row r="35" spans="1:17" ht="3" customHeight="1" thickTop="1" thickBot="1" x14ac:dyDescent="0.25">
      <c r="A35" s="522"/>
      <c r="B35" s="527"/>
      <c r="C35" s="527"/>
      <c r="D35" s="527"/>
      <c r="E35" s="527"/>
      <c r="F35" s="527"/>
      <c r="G35" s="527"/>
      <c r="H35" s="527"/>
      <c r="I35" s="527"/>
      <c r="J35" s="528"/>
      <c r="K35" s="259"/>
      <c r="L35" s="260"/>
      <c r="M35" s="261"/>
      <c r="N35" s="262"/>
      <c r="O35" s="254"/>
      <c r="P35" s="254"/>
    </row>
    <row r="36" spans="1:17" ht="15" customHeight="1" thickBot="1" x14ac:dyDescent="0.25">
      <c r="A36" s="522"/>
      <c r="B36" s="529" t="s">
        <v>150</v>
      </c>
      <c r="C36" s="529"/>
      <c r="D36" s="529"/>
      <c r="E36" s="529"/>
      <c r="F36" s="529"/>
      <c r="G36" s="529"/>
      <c r="H36" s="529"/>
      <c r="I36" s="529"/>
      <c r="J36" s="520"/>
      <c r="K36" s="263">
        <f>SUM(K21:K34)</f>
        <v>0</v>
      </c>
      <c r="L36" s="264"/>
      <c r="M36" s="265">
        <f>'様式１ー２　費用等明細'!$Q$14</f>
        <v>0</v>
      </c>
      <c r="N36" s="266" t="s">
        <v>100</v>
      </c>
      <c r="O36" s="254"/>
      <c r="P36" s="254"/>
    </row>
    <row r="37" spans="1:17" ht="15" customHeight="1" x14ac:dyDescent="0.2">
      <c r="A37" s="530" t="s">
        <v>110</v>
      </c>
      <c r="B37" s="530" t="s">
        <v>155</v>
      </c>
      <c r="C37" s="523" t="s">
        <v>101</v>
      </c>
      <c r="D37" s="523"/>
      <c r="E37" s="523"/>
      <c r="F37" s="523"/>
      <c r="G37" s="255">
        <v>498000</v>
      </c>
      <c r="H37" s="321" t="s">
        <v>105</v>
      </c>
      <c r="I37" s="267">
        <f>IF(SUMIFS('様式１ー２　費用等明細'!$L$15:$L$214,'様式１ー２　費用等明細'!$D$15:$D$214,判定!$L$10)&gt;=1,1,0)</f>
        <v>0</v>
      </c>
      <c r="J37" s="321" t="s">
        <v>113</v>
      </c>
      <c r="K37" s="319">
        <f>G37*I37</f>
        <v>0</v>
      </c>
      <c r="L37" s="321" t="s">
        <v>100</v>
      </c>
      <c r="M37" s="533"/>
      <c r="N37" s="321" t="s">
        <v>100</v>
      </c>
      <c r="O37" s="254"/>
      <c r="P37" s="254"/>
    </row>
    <row r="38" spans="1:17" ht="15" customHeight="1" x14ac:dyDescent="0.2">
      <c r="A38" s="530"/>
      <c r="B38" s="530"/>
      <c r="C38" s="523" t="s">
        <v>102</v>
      </c>
      <c r="D38" s="523"/>
      <c r="E38" s="523"/>
      <c r="F38" s="523"/>
      <c r="G38" s="255">
        <v>416000</v>
      </c>
      <c r="H38" s="321" t="s">
        <v>105</v>
      </c>
      <c r="I38" s="267">
        <f>IF(SUMIFS('様式１ー２　費用等明細'!$L$15:$L$214,'様式１ー２　費用等明細'!$D$15:$D$214,判定!$L$11)&gt;=1,1,0)</f>
        <v>0</v>
      </c>
      <c r="J38" s="321" t="s">
        <v>113</v>
      </c>
      <c r="K38" s="255">
        <f t="shared" ref="K38:K39" si="1">G38*I38</f>
        <v>0</v>
      </c>
      <c r="L38" s="321" t="s">
        <v>100</v>
      </c>
      <c r="M38" s="534"/>
      <c r="N38" s="321" t="s">
        <v>100</v>
      </c>
      <c r="O38" s="254"/>
      <c r="P38" s="254"/>
    </row>
    <row r="39" spans="1:17" ht="15" customHeight="1" x14ac:dyDescent="0.2">
      <c r="A39" s="530"/>
      <c r="B39" s="530"/>
      <c r="C39" s="523" t="s">
        <v>103</v>
      </c>
      <c r="D39" s="523"/>
      <c r="E39" s="523"/>
      <c r="F39" s="523"/>
      <c r="G39" s="255">
        <v>273000</v>
      </c>
      <c r="H39" s="321" t="s">
        <v>105</v>
      </c>
      <c r="I39" s="267">
        <f>IF((SUMIFS('様式１ー２　費用等明細'!$L$15:$L$214,'様式１ー２　費用等明細'!$D$15:$D$214,判定!$L$12)+SUMIFS('様式１ー２　費用等明細'!$L$15:$L$214,'様式１ー２　費用等明細'!$D$15:$D$214,判定!$L$13)+SUMIFS('様式１ー２　費用等明細'!$L$15:$L$214,'様式１ー２　費用等明細'!$D$15:$D$214,判定!$L$14)+SUMIFS('様式１ー２　費用等明細'!$L$15:$L$214,'様式１ー２　費用等明細'!$D$15:$D$214,判定!$L$15))&gt;=1,1,0)</f>
        <v>0</v>
      </c>
      <c r="J39" s="321" t="s">
        <v>113</v>
      </c>
      <c r="K39" s="255">
        <f t="shared" si="1"/>
        <v>0</v>
      </c>
      <c r="L39" s="321" t="s">
        <v>100</v>
      </c>
      <c r="M39" s="534"/>
      <c r="N39" s="321" t="s">
        <v>100</v>
      </c>
      <c r="O39" s="254"/>
      <c r="P39" s="254"/>
    </row>
    <row r="40" spans="1:17" ht="15" customHeight="1" x14ac:dyDescent="0.2">
      <c r="A40" s="530"/>
      <c r="B40" s="530"/>
      <c r="C40" s="523" t="s">
        <v>104</v>
      </c>
      <c r="D40" s="523"/>
      <c r="E40" s="523"/>
      <c r="F40" s="523"/>
      <c r="G40" s="255">
        <v>58000</v>
      </c>
      <c r="H40" s="321" t="s">
        <v>106</v>
      </c>
      <c r="I40" s="267">
        <f>SUMIFS('様式１ー２　費用等明細'!$L$15:$L$214,'様式１ー２　費用等明細'!$D$15:$D$214,判定!$L$16)+SUMIFS('様式１ー２　費用等明細'!$L$15:$L$214,'様式１ー２　費用等明細'!$D$15:$D$214,判定!$L$17)</f>
        <v>0</v>
      </c>
      <c r="J40" s="321" t="s">
        <v>107</v>
      </c>
      <c r="K40" s="255">
        <f>G40*I40</f>
        <v>0</v>
      </c>
      <c r="L40" s="321" t="s">
        <v>100</v>
      </c>
      <c r="M40" s="534"/>
      <c r="N40" s="321" t="s">
        <v>100</v>
      </c>
      <c r="O40" s="254"/>
      <c r="P40" s="254"/>
    </row>
    <row r="41" spans="1:17" ht="15" customHeight="1" x14ac:dyDescent="0.2">
      <c r="A41" s="530"/>
      <c r="B41" s="530"/>
      <c r="C41" s="523" t="s">
        <v>355</v>
      </c>
      <c r="D41" s="523"/>
      <c r="E41" s="523"/>
      <c r="F41" s="523"/>
      <c r="G41" s="321" t="s">
        <v>109</v>
      </c>
      <c r="H41" s="321" t="s">
        <v>109</v>
      </c>
      <c r="I41" s="267">
        <f>IF(SUMIFS('様式１ー２　費用等明細'!$L$15:$L$214,'様式１ー２　費用等明細'!$D$15:$D$214,判定!$L$18)&gt;=1,1,0)</f>
        <v>0</v>
      </c>
      <c r="J41" s="321" t="s">
        <v>108</v>
      </c>
      <c r="K41" s="268">
        <f>SUMIF('様式１ー２　費用等明細'!$D:$D,判定!$L$18,'様式１ー２　費用等明細'!$P:$P)</f>
        <v>0</v>
      </c>
      <c r="L41" s="269" t="s">
        <v>315</v>
      </c>
      <c r="M41" s="534"/>
      <c r="N41" s="321" t="s">
        <v>100</v>
      </c>
      <c r="O41" s="254"/>
      <c r="P41" s="254"/>
    </row>
    <row r="42" spans="1:17" ht="15" customHeight="1" x14ac:dyDescent="0.2">
      <c r="A42" s="530"/>
      <c r="B42" s="530"/>
      <c r="C42" s="523" t="s">
        <v>361</v>
      </c>
      <c r="D42" s="523"/>
      <c r="E42" s="523"/>
      <c r="F42" s="523"/>
      <c r="G42" s="255">
        <v>510000</v>
      </c>
      <c r="H42" s="321" t="s">
        <v>106</v>
      </c>
      <c r="I42" s="267">
        <f>SUMIFS('様式１ー２　費用等明細'!$L$15:$L$214,'様式１ー２　費用等明細'!$D$15:$D$214,判定!$L$19)</f>
        <v>0</v>
      </c>
      <c r="J42" s="321" t="s">
        <v>107</v>
      </c>
      <c r="K42" s="255">
        <f>G42*I42</f>
        <v>0</v>
      </c>
      <c r="L42" s="269" t="s">
        <v>315</v>
      </c>
      <c r="M42" s="534"/>
      <c r="N42" s="321" t="s">
        <v>100</v>
      </c>
      <c r="O42" s="254"/>
      <c r="P42" s="254"/>
    </row>
    <row r="43" spans="1:17" ht="15" customHeight="1" thickBot="1" x14ac:dyDescent="0.25">
      <c r="A43" s="530"/>
      <c r="B43" s="531"/>
      <c r="C43" s="524" t="s">
        <v>356</v>
      </c>
      <c r="D43" s="524"/>
      <c r="E43" s="524"/>
      <c r="F43" s="524"/>
      <c r="G43" s="317" t="s">
        <v>109</v>
      </c>
      <c r="H43" s="317" t="s">
        <v>109</v>
      </c>
      <c r="I43" s="267">
        <f>IF(SUMIFS('様式１ー２　費用等明細'!$L$15:$L$214,'様式１ー２　費用等明細'!$D$15:$D$214,判定!$L$20)&gt;=1,1,0)</f>
        <v>0</v>
      </c>
      <c r="J43" s="317" t="s">
        <v>108</v>
      </c>
      <c r="K43" s="270">
        <f>SUMIF('様式１ー２　費用等明細'!$D:$D,判定!$L$20,'様式１ー２　費用等明細'!$P:$P)</f>
        <v>0</v>
      </c>
      <c r="L43" s="271" t="s">
        <v>315</v>
      </c>
      <c r="M43" s="535"/>
      <c r="N43" s="317" t="s">
        <v>100</v>
      </c>
      <c r="O43" s="254"/>
      <c r="P43" s="254"/>
    </row>
    <row r="44" spans="1:17" ht="3" customHeight="1" thickTop="1" thickBot="1" x14ac:dyDescent="0.25">
      <c r="A44" s="530"/>
      <c r="B44" s="527"/>
      <c r="C44" s="527"/>
      <c r="D44" s="527"/>
      <c r="E44" s="527"/>
      <c r="F44" s="527"/>
      <c r="G44" s="527"/>
      <c r="H44" s="527"/>
      <c r="I44" s="527"/>
      <c r="J44" s="528"/>
      <c r="K44" s="259"/>
      <c r="L44" s="260"/>
      <c r="M44" s="259"/>
      <c r="N44" s="262"/>
      <c r="O44" s="254"/>
      <c r="P44" s="254"/>
    </row>
    <row r="45" spans="1:17" ht="15" customHeight="1" thickBot="1" x14ac:dyDescent="0.25">
      <c r="A45" s="531"/>
      <c r="B45" s="532" t="s">
        <v>357</v>
      </c>
      <c r="C45" s="532"/>
      <c r="D45" s="532"/>
      <c r="E45" s="532"/>
      <c r="F45" s="532"/>
      <c r="G45" s="532"/>
      <c r="H45" s="532"/>
      <c r="I45" s="532"/>
      <c r="J45" s="518"/>
      <c r="K45" s="263">
        <f>SUM(K37:K43)</f>
        <v>0</v>
      </c>
      <c r="L45" s="272"/>
      <c r="M45" s="263">
        <f>'様式１ー２　費用等明細'!R14</f>
        <v>0</v>
      </c>
      <c r="N45" s="266" t="s">
        <v>100</v>
      </c>
      <c r="O45" s="254"/>
      <c r="P45" s="254"/>
    </row>
    <row r="46" spans="1:17" ht="26.5" thickBot="1" x14ac:dyDescent="0.25">
      <c r="A46" s="321" t="s">
        <v>142</v>
      </c>
      <c r="B46" s="530" t="s">
        <v>281</v>
      </c>
      <c r="C46" s="530"/>
      <c r="D46" s="530"/>
      <c r="E46" s="530"/>
      <c r="F46" s="530"/>
      <c r="G46" s="530"/>
      <c r="H46" s="530"/>
      <c r="I46" s="530"/>
      <c r="J46" s="530"/>
      <c r="K46" s="536"/>
      <c r="L46" s="537"/>
      <c r="M46" s="263">
        <f>IF(判定!$C$13=TRUE,'様式１ー２　費用等明細'!$S$14,0)</f>
        <v>0</v>
      </c>
      <c r="N46" s="266" t="s">
        <v>100</v>
      </c>
      <c r="O46" s="254"/>
      <c r="P46" s="254"/>
    </row>
    <row r="47" spans="1:17" x14ac:dyDescent="0.2">
      <c r="A47" s="503"/>
      <c r="B47" s="504"/>
      <c r="C47" s="504"/>
      <c r="D47" s="504"/>
      <c r="E47" s="504"/>
      <c r="F47" s="504"/>
      <c r="G47" s="504"/>
      <c r="H47" s="504"/>
      <c r="I47" s="504"/>
      <c r="J47" s="504"/>
      <c r="K47" s="538"/>
      <c r="L47" s="504"/>
      <c r="M47" s="538"/>
      <c r="N47" s="505"/>
      <c r="O47" s="254"/>
      <c r="P47" s="254"/>
      <c r="Q47" s="273"/>
    </row>
    <row r="48" spans="1:17" ht="15" customHeight="1" x14ac:dyDescent="0.2">
      <c r="A48" s="539" t="s">
        <v>266</v>
      </c>
      <c r="B48" s="540"/>
      <c r="C48" s="541"/>
      <c r="D48" s="545" t="s">
        <v>151</v>
      </c>
      <c r="E48" s="546"/>
      <c r="F48" s="546"/>
      <c r="G48" s="546"/>
      <c r="H48" s="546"/>
      <c r="I48" s="546"/>
      <c r="J48" s="546"/>
      <c r="K48" s="546"/>
      <c r="L48" s="547"/>
      <c r="M48" s="548">
        <f>ROUNDDOWN(MIN($K$36,$M$36)*0.23,0)</f>
        <v>0</v>
      </c>
      <c r="N48" s="531" t="s">
        <v>100</v>
      </c>
      <c r="O48" s="254"/>
      <c r="P48" s="254"/>
    </row>
    <row r="49" spans="1:16" ht="15" customHeight="1" x14ac:dyDescent="0.2">
      <c r="A49" s="542"/>
      <c r="B49" s="543"/>
      <c r="C49" s="544"/>
      <c r="D49" s="550">
        <f>IF(OR($K$36=0,$M$36=0),,TEXT(MIN($K$36,$M$36),"#,#")&amp;"  × 0.23  ≒  "&amp;TEXT(ROUNDDOWN(MIN($K$36,$M$36)*0.23,0),"#,#"))</f>
        <v>0</v>
      </c>
      <c r="E49" s="551"/>
      <c r="F49" s="551"/>
      <c r="G49" s="551"/>
      <c r="H49" s="551"/>
      <c r="I49" s="551"/>
      <c r="J49" s="551"/>
      <c r="K49" s="551"/>
      <c r="L49" s="552"/>
      <c r="M49" s="549">
        <f>IF(H45&gt;=H36,ROUNDDOWN(($K$36*2)*0.23,0),ROUNDDOWN(($K$36+$K$45)*0.23,0))</f>
        <v>0</v>
      </c>
      <c r="N49" s="536"/>
      <c r="O49" s="254"/>
      <c r="P49" s="254"/>
    </row>
    <row r="50" spans="1:16" ht="15" customHeight="1" x14ac:dyDescent="0.2">
      <c r="A50" s="559" t="s">
        <v>267</v>
      </c>
      <c r="B50" s="560"/>
      <c r="C50" s="561"/>
      <c r="D50" s="545" t="s">
        <v>265</v>
      </c>
      <c r="E50" s="546"/>
      <c r="F50" s="546"/>
      <c r="G50" s="546"/>
      <c r="H50" s="546"/>
      <c r="I50" s="546"/>
      <c r="J50" s="546"/>
      <c r="K50" s="546"/>
      <c r="L50" s="547"/>
      <c r="M50" s="548">
        <f>ROUNDDOWN(MIN($K$45,$M$45)*0.23,0)</f>
        <v>0</v>
      </c>
      <c r="N50" s="531" t="s">
        <v>100</v>
      </c>
      <c r="O50" s="254"/>
      <c r="P50" s="254"/>
    </row>
    <row r="51" spans="1:16" ht="15" customHeight="1" x14ac:dyDescent="0.2">
      <c r="A51" s="562"/>
      <c r="B51" s="563"/>
      <c r="C51" s="564"/>
      <c r="D51" s="550">
        <f>IF(OR($K$45=0,$M$45=0),,TEXT(MIN($K$45,$M$45),"#,#")&amp;"  × 0.23  ≒  "&amp;TEXT(ROUNDDOWN(MIN($K$45,$M$45)*0.23,0),"#,#"))</f>
        <v>0</v>
      </c>
      <c r="E51" s="551"/>
      <c r="F51" s="551"/>
      <c r="G51" s="551"/>
      <c r="H51" s="551"/>
      <c r="I51" s="551"/>
      <c r="J51" s="551"/>
      <c r="K51" s="551"/>
      <c r="L51" s="552"/>
      <c r="M51" s="549">
        <f>IF(H47&gt;=H38,ROUNDDOWN(($K$36*2)*0.23,0),ROUNDDOWN(($K$36+$K$45)*0.23,0))</f>
        <v>0</v>
      </c>
      <c r="N51" s="536"/>
      <c r="O51" s="254"/>
      <c r="P51" s="254"/>
    </row>
    <row r="52" spans="1:16" ht="15" customHeight="1" x14ac:dyDescent="0.2">
      <c r="A52" s="559" t="s">
        <v>268</v>
      </c>
      <c r="B52" s="560"/>
      <c r="C52" s="561"/>
      <c r="D52" s="545" t="s">
        <v>143</v>
      </c>
      <c r="E52" s="546"/>
      <c r="F52" s="546"/>
      <c r="G52" s="546"/>
      <c r="H52" s="546"/>
      <c r="I52" s="546"/>
      <c r="J52" s="546"/>
      <c r="K52" s="546"/>
      <c r="L52" s="547"/>
      <c r="M52" s="565">
        <f>IF(判定!$C$14=TRUE,,IF($M$46=0,,ROUNDDOWN($M$46*0.23,0)))</f>
        <v>0</v>
      </c>
      <c r="N52" s="531" t="s">
        <v>100</v>
      </c>
      <c r="O52" s="254"/>
      <c r="P52" s="254"/>
    </row>
    <row r="53" spans="1:16" ht="15" customHeight="1" x14ac:dyDescent="0.2">
      <c r="A53" s="562"/>
      <c r="B53" s="563"/>
      <c r="C53" s="564"/>
      <c r="D53" s="550">
        <f>IF(判定!$C$14=TRUE,,IF($M$46=0,,TEXT($M$46,"#,#")&amp;"  × 0.23  ≒  "&amp;TEXT(ROUNDDOWN($M$46*0.23,0),"#,#")))</f>
        <v>0</v>
      </c>
      <c r="E53" s="551"/>
      <c r="F53" s="551"/>
      <c r="G53" s="551"/>
      <c r="H53" s="551"/>
      <c r="I53" s="551"/>
      <c r="J53" s="551"/>
      <c r="K53" s="551"/>
      <c r="L53" s="552"/>
      <c r="M53" s="566">
        <f>IF($M$45&gt;=$M$36,ROUNDDOWN(($M$36*2)*0.23,0),ROUNDDOWN(($M$36+$M$45)*0.23,0))</f>
        <v>0</v>
      </c>
      <c r="N53" s="536"/>
      <c r="O53" s="254"/>
      <c r="P53" s="254"/>
    </row>
    <row r="54" spans="1:16" ht="15" customHeight="1" x14ac:dyDescent="0.2">
      <c r="A54" s="539" t="s">
        <v>358</v>
      </c>
      <c r="B54" s="540"/>
      <c r="C54" s="541"/>
      <c r="D54" s="553">
        <f>IFERROR(IF(判定!$C$14=TRUE,"「① + ②」、「補助上限額("&amp;TEXT(判定!$C$27,"#,#円")&amp;")」のいずれか低い額","「① + ② + ③」、「補助上限額("&amp;TEXT(判定!$C$27,"#,#円")&amp;")」のいずれか低い額"),0)</f>
        <v>0</v>
      </c>
      <c r="E54" s="554"/>
      <c r="F54" s="554"/>
      <c r="G54" s="554"/>
      <c r="H54" s="554"/>
      <c r="I54" s="554"/>
      <c r="J54" s="554"/>
      <c r="K54" s="554"/>
      <c r="L54" s="555"/>
      <c r="M54" s="548">
        <f>IFERROR(IF(判定!$C$14=TRUE,ROUNDDOWN(MIN($M$48+$M$50,判定!$C$27),-3),ROUNDDOWN(MIN($M$48+$M$50+$M$52,判定!$C$27),-3)),0)</f>
        <v>0</v>
      </c>
      <c r="N54" s="531" t="s">
        <v>100</v>
      </c>
      <c r="O54" s="254"/>
      <c r="P54" s="254"/>
    </row>
    <row r="55" spans="1:16" ht="15" customHeight="1" x14ac:dyDescent="0.2">
      <c r="A55" s="542"/>
      <c r="B55" s="543"/>
      <c r="C55" s="544"/>
      <c r="D55" s="556">
        <f>IFERROR(IF(判定!$C$14=TRUE,TEXT($M$48+$M$50,"#,#")&amp;" 、 "&amp;TEXT(判定!$C$27,"#,#"),TEXT($M$48+$M$50+$M$52,"#,#")&amp;" 、 "&amp;TEXT(判定!$C$27,"#,#")),0)</f>
        <v>0</v>
      </c>
      <c r="E55" s="557"/>
      <c r="F55" s="557"/>
      <c r="G55" s="557"/>
      <c r="H55" s="557"/>
      <c r="I55" s="557"/>
      <c r="J55" s="557"/>
      <c r="K55" s="557"/>
      <c r="L55" s="558"/>
      <c r="M55" s="549"/>
      <c r="N55" s="536"/>
      <c r="O55" s="254"/>
      <c r="P55" s="254"/>
    </row>
    <row r="56" spans="1:16" ht="20.149999999999999" customHeight="1" thickBot="1" x14ac:dyDescent="0.25">
      <c r="A56" s="567" t="s">
        <v>359</v>
      </c>
      <c r="B56" s="568"/>
      <c r="C56" s="569"/>
      <c r="D56" s="570" t="s">
        <v>351</v>
      </c>
      <c r="E56" s="571"/>
      <c r="F56" s="571"/>
      <c r="G56" s="571"/>
      <c r="H56" s="571"/>
      <c r="I56" s="571"/>
      <c r="J56" s="571"/>
      <c r="K56" s="571"/>
      <c r="L56" s="572"/>
      <c r="M56" s="318">
        <f>IF(COUNTIF(判定!$C$17:$C$23,TRUE)=7,MIN($M$54,200000),0)</f>
        <v>0</v>
      </c>
      <c r="N56" s="317" t="s">
        <v>100</v>
      </c>
      <c r="O56" s="254"/>
      <c r="P56" s="254"/>
    </row>
    <row r="57" spans="1:16" ht="20.149999999999999" customHeight="1" thickBot="1" x14ac:dyDescent="0.25">
      <c r="A57" s="539" t="s">
        <v>360</v>
      </c>
      <c r="B57" s="540"/>
      <c r="C57" s="541"/>
      <c r="D57" s="567" t="s">
        <v>269</v>
      </c>
      <c r="E57" s="568"/>
      <c r="F57" s="568"/>
      <c r="G57" s="568"/>
      <c r="H57" s="568"/>
      <c r="I57" s="568"/>
      <c r="J57" s="568"/>
      <c r="K57" s="568"/>
      <c r="L57" s="573"/>
      <c r="M57" s="263">
        <f>IF(OR($M$54&lt;$M$56,$M$56&gt;200000),"　　　error",ROUNDDOWN(M54+M56,-3))</f>
        <v>0</v>
      </c>
      <c r="N57" s="274" t="s">
        <v>100</v>
      </c>
      <c r="O57" s="254"/>
      <c r="P57" s="254"/>
    </row>
    <row r="58" spans="1:16" ht="54" customHeight="1" x14ac:dyDescent="0.2">
      <c r="A58" s="574" t="s">
        <v>314</v>
      </c>
      <c r="B58" s="491"/>
      <c r="C58" s="491"/>
      <c r="D58" s="491"/>
      <c r="E58" s="491"/>
      <c r="F58" s="491"/>
      <c r="G58" s="491"/>
      <c r="H58" s="491"/>
      <c r="I58" s="491"/>
      <c r="J58" s="491"/>
      <c r="K58" s="491"/>
      <c r="L58" s="491"/>
      <c r="M58" s="497"/>
      <c r="N58" s="492"/>
    </row>
    <row r="59" spans="1:16" ht="15" customHeight="1" x14ac:dyDescent="0.2">
      <c r="N59" s="202" t="s">
        <v>118</v>
      </c>
    </row>
    <row r="60" spans="1:16" ht="15" customHeight="1" x14ac:dyDescent="0.2">
      <c r="A60" s="252" t="s">
        <v>258</v>
      </c>
    </row>
    <row r="61" spans="1:16" ht="15" customHeight="1" x14ac:dyDescent="0.2">
      <c r="A61" s="202" t="str">
        <f>"断熱改修【 "&amp;TEXT(計算!$M$67*0.068/1000,"0.00")&amp;" 】＋設備効率化【 "&amp;TEXT(計算!$Q$154/1000,"0.00")&amp;" 】　＝　計　【 "&amp;TEXT(計算!$C$164,"0.00")&amp;" 】［t-CO2］"</f>
        <v>断熱改修【 0.00 】＋設備効率化【 0.00 】　＝　計　【 0.00 】［t-CO2］</v>
      </c>
    </row>
    <row r="62" spans="1:16" ht="15" customHeight="1" x14ac:dyDescent="0.2">
      <c r="A62" s="202" t="str">
        <f>"（参考）　断熱改修による暖房負荷削減量（MJ/年）　＝　"&amp;TEXT(計算!$G$67,"0.00")&amp;"MJ/年・㎡ × "&amp;TEXT(計算!$I$67,"0.00")&amp;"㎡ × "&amp;TEXT(計算!$K$67,"0.00")&amp;" ＝ "&amp;TEXT(計算!$M$67,"#,#")&amp;"MJ/年"</f>
        <v>（参考）　断熱改修による暖房負荷削減量（MJ/年）　＝　0.00MJ/年・㎡ × 0.00㎡ × 1.00 ＝ MJ/年</v>
      </c>
    </row>
    <row r="63" spans="1:16" ht="15" customHeight="1" x14ac:dyDescent="0.2"/>
    <row r="64" spans="1: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sheetData>
  <sheetProtection sheet="1" selectLockedCells="1"/>
  <mergeCells count="82">
    <mergeCell ref="A56:C56"/>
    <mergeCell ref="D56:L56"/>
    <mergeCell ref="A57:C57"/>
    <mergeCell ref="D57:L57"/>
    <mergeCell ref="A58:N58"/>
    <mergeCell ref="A52:C53"/>
    <mergeCell ref="D52:L52"/>
    <mergeCell ref="M52:M53"/>
    <mergeCell ref="N52:N53"/>
    <mergeCell ref="D53:L53"/>
    <mergeCell ref="A50:C51"/>
    <mergeCell ref="D50:L50"/>
    <mergeCell ref="M50:M51"/>
    <mergeCell ref="N50:N51"/>
    <mergeCell ref="D51:L51"/>
    <mergeCell ref="A54:C55"/>
    <mergeCell ref="D54:L54"/>
    <mergeCell ref="M54:M55"/>
    <mergeCell ref="N54:N55"/>
    <mergeCell ref="D55:L55"/>
    <mergeCell ref="B46:L46"/>
    <mergeCell ref="A47:N47"/>
    <mergeCell ref="A48:C49"/>
    <mergeCell ref="D48:L48"/>
    <mergeCell ref="M48:M49"/>
    <mergeCell ref="N48:N49"/>
    <mergeCell ref="D49:L49"/>
    <mergeCell ref="M37:M43"/>
    <mergeCell ref="C38:F38"/>
    <mergeCell ref="C39:F39"/>
    <mergeCell ref="C40:F40"/>
    <mergeCell ref="C41:F41"/>
    <mergeCell ref="C42:F42"/>
    <mergeCell ref="C43:F43"/>
    <mergeCell ref="B35:J35"/>
    <mergeCell ref="B36:J36"/>
    <mergeCell ref="A37:A45"/>
    <mergeCell ref="B37:B43"/>
    <mergeCell ref="C37:F37"/>
    <mergeCell ref="B44:J44"/>
    <mergeCell ref="B45:J45"/>
    <mergeCell ref="A21:A36"/>
    <mergeCell ref="B21:B28"/>
    <mergeCell ref="C21:C26"/>
    <mergeCell ref="D21:E23"/>
    <mergeCell ref="M21:M34"/>
    <mergeCell ref="D24:E26"/>
    <mergeCell ref="C27:C28"/>
    <mergeCell ref="D27:E28"/>
    <mergeCell ref="B29:C34"/>
    <mergeCell ref="D29:E30"/>
    <mergeCell ref="D31:E32"/>
    <mergeCell ref="D33:E34"/>
    <mergeCell ref="A16:C17"/>
    <mergeCell ref="D16:L16"/>
    <mergeCell ref="M16:M17"/>
    <mergeCell ref="N16:N17"/>
    <mergeCell ref="D17:L17"/>
    <mergeCell ref="A20:E20"/>
    <mergeCell ref="F20:H20"/>
    <mergeCell ref="I20:J20"/>
    <mergeCell ref="K20:L20"/>
    <mergeCell ref="M20:N20"/>
    <mergeCell ref="N14:N15"/>
    <mergeCell ref="D15:L15"/>
    <mergeCell ref="A10:L10"/>
    <mergeCell ref="M10:N10"/>
    <mergeCell ref="A11:C11"/>
    <mergeCell ref="D11:L11"/>
    <mergeCell ref="A12:C12"/>
    <mergeCell ref="D12:L12"/>
    <mergeCell ref="A13:C13"/>
    <mergeCell ref="D13:L13"/>
    <mergeCell ref="A14:C15"/>
    <mergeCell ref="D14:L14"/>
    <mergeCell ref="M14:M15"/>
    <mergeCell ref="C6:D6"/>
    <mergeCell ref="E6:F6"/>
    <mergeCell ref="I6:J6"/>
    <mergeCell ref="C7:D7"/>
    <mergeCell ref="E7:F7"/>
    <mergeCell ref="I7:J7"/>
  </mergeCells>
  <phoneticPr fontId="3"/>
  <dataValidations disablePrompts="1" count="2">
    <dataValidation type="whole" operator="lessThanOrEqual" allowBlank="1" showInputMessage="1" showErrorMessage="1" sqref="M56">
      <formula1>200000</formula1>
    </dataValidation>
    <dataValidation operator="greaterThan" allowBlank="1" showInputMessage="1" showErrorMessage="1" sqref="I21:I34"/>
  </dataValidations>
  <pageMargins left="0.70866141732283472" right="0.70866141732283472" top="0.74803149606299213" bottom="0.74803149606299213" header="0.31496062992125984" footer="0.31496062992125984"/>
  <pageSetup paperSize="9" scale="7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3309B95A-CB3B-487F-84C9-7F0F4374D5FE}">
            <xm:f>判定!$C$14=TRUE</xm:f>
            <x14:dxf>
              <fill>
                <patternFill>
                  <bgColor theme="0" tint="-0.14996795556505021"/>
                </patternFill>
              </fill>
            </x14:dxf>
          </x14:cfRule>
          <xm:sqref>A46:N46 A52:N53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J245"/>
  <sheetViews>
    <sheetView view="pageBreakPreview" zoomScale="115" zoomScaleNormal="145" zoomScaleSheetLayoutView="115" workbookViewId="0">
      <selection activeCell="B15" sqref="B15"/>
    </sheetView>
  </sheetViews>
  <sheetFormatPr defaultColWidth="9.81640625" defaultRowHeight="13" x14ac:dyDescent="0.2"/>
  <cols>
    <col min="1" max="2" width="5.1796875" style="206" customWidth="1"/>
    <col min="3" max="3" width="11.36328125" style="216" bestFit="1" customWidth="1"/>
    <col min="4" max="4" width="25.6328125" style="206" customWidth="1"/>
    <col min="5" max="10" width="7.7265625" style="206" customWidth="1"/>
    <col min="11" max="11" width="8.90625" style="206" customWidth="1"/>
    <col min="12" max="12" width="6.26953125" style="206" customWidth="1"/>
    <col min="13" max="15" width="14.6328125" style="206" customWidth="1"/>
    <col min="16" max="16" width="10.1796875" style="225" customWidth="1"/>
    <col min="17" max="17" width="9.81640625" style="218" customWidth="1"/>
    <col min="18" max="19" width="9.81640625" style="218"/>
    <col min="20" max="20" width="12.6328125" style="219" customWidth="1"/>
    <col min="21" max="21" width="4.1796875" style="219" customWidth="1"/>
    <col min="22" max="16384" width="9.81640625" style="219"/>
  </cols>
  <sheetData>
    <row r="1" spans="1:32" x14ac:dyDescent="0.2">
      <c r="A1" s="206" t="s">
        <v>257</v>
      </c>
      <c r="P1" s="217"/>
    </row>
    <row r="2" spans="1:32" x14ac:dyDescent="0.2">
      <c r="P2" s="217"/>
    </row>
    <row r="3" spans="1:32" ht="16.5" x14ac:dyDescent="0.2">
      <c r="A3" s="220" t="s">
        <v>284</v>
      </c>
      <c r="P3" s="217"/>
    </row>
    <row r="4" spans="1:32" x14ac:dyDescent="0.2">
      <c r="P4" s="217"/>
    </row>
    <row r="5" spans="1:32" x14ac:dyDescent="0.2">
      <c r="A5" s="206" t="s">
        <v>276</v>
      </c>
      <c r="P5" s="217"/>
    </row>
    <row r="6" spans="1:32" x14ac:dyDescent="0.2">
      <c r="A6" s="221">
        <v>1</v>
      </c>
      <c r="B6" s="222" t="s">
        <v>259</v>
      </c>
      <c r="C6" s="223"/>
      <c r="D6" s="224"/>
      <c r="E6" s="584"/>
      <c r="F6" s="585"/>
      <c r="G6" s="221" t="s">
        <v>262</v>
      </c>
      <c r="P6" s="217"/>
    </row>
    <row r="7" spans="1:32" x14ac:dyDescent="0.2">
      <c r="A7" s="221">
        <v>2</v>
      </c>
      <c r="B7" s="222" t="s">
        <v>260</v>
      </c>
      <c r="C7" s="223"/>
      <c r="D7" s="224"/>
      <c r="E7" s="584"/>
      <c r="F7" s="585"/>
      <c r="G7" s="221" t="s">
        <v>262</v>
      </c>
      <c r="P7" s="217"/>
    </row>
    <row r="8" spans="1:32" x14ac:dyDescent="0.2">
      <c r="A8" s="221">
        <v>3</v>
      </c>
      <c r="B8" s="222" t="s">
        <v>261</v>
      </c>
      <c r="C8" s="223"/>
      <c r="D8" s="224"/>
      <c r="E8" s="584"/>
      <c r="F8" s="585"/>
      <c r="G8" s="221" t="s">
        <v>262</v>
      </c>
      <c r="P8" s="217"/>
    </row>
    <row r="9" spans="1:32" x14ac:dyDescent="0.2">
      <c r="P9" s="217"/>
    </row>
    <row r="10" spans="1:32" x14ac:dyDescent="0.2">
      <c r="A10" s="206" t="s">
        <v>277</v>
      </c>
      <c r="AB10" s="226"/>
      <c r="AC10" s="226"/>
      <c r="AD10" s="226"/>
      <c r="AE10" s="226"/>
      <c r="AF10" s="226"/>
    </row>
    <row r="11" spans="1:32" ht="18" customHeight="1" x14ac:dyDescent="0.2">
      <c r="A11" s="589" t="s">
        <v>156</v>
      </c>
      <c r="B11" s="575" t="s">
        <v>10</v>
      </c>
      <c r="C11" s="590" t="s">
        <v>157</v>
      </c>
      <c r="D11" s="593" t="s">
        <v>158</v>
      </c>
      <c r="E11" s="227" t="s">
        <v>159</v>
      </c>
      <c r="F11" s="228"/>
      <c r="G11" s="227"/>
      <c r="H11" s="227"/>
      <c r="I11" s="227"/>
      <c r="J11" s="227"/>
      <c r="K11" s="227"/>
      <c r="L11" s="227"/>
      <c r="M11" s="227" t="s">
        <v>160</v>
      </c>
      <c r="N11" s="227"/>
      <c r="O11" s="229"/>
      <c r="P11" s="578" t="s">
        <v>253</v>
      </c>
      <c r="Q11" s="579"/>
      <c r="R11" s="579"/>
      <c r="S11" s="580"/>
      <c r="T11" s="575" t="s">
        <v>161</v>
      </c>
      <c r="V11" s="230"/>
      <c r="W11" s="230"/>
      <c r="X11" s="230"/>
      <c r="Y11" s="230"/>
      <c r="Z11" s="230"/>
      <c r="AA11" s="230"/>
      <c r="AB11" s="226"/>
      <c r="AC11" s="226"/>
      <c r="AD11" s="226"/>
      <c r="AE11" s="226"/>
      <c r="AF11" s="226"/>
    </row>
    <row r="12" spans="1:32" ht="32.5" customHeight="1" x14ac:dyDescent="0.2">
      <c r="A12" s="589"/>
      <c r="B12" s="576"/>
      <c r="C12" s="591"/>
      <c r="D12" s="593"/>
      <c r="E12" s="586" t="s">
        <v>162</v>
      </c>
      <c r="F12" s="586" t="s">
        <v>194</v>
      </c>
      <c r="G12" s="586" t="s">
        <v>163</v>
      </c>
      <c r="H12" s="586" t="s">
        <v>164</v>
      </c>
      <c r="I12" s="586" t="s">
        <v>165</v>
      </c>
      <c r="J12" s="586" t="s">
        <v>190</v>
      </c>
      <c r="K12" s="586" t="s">
        <v>278</v>
      </c>
      <c r="L12" s="586" t="s">
        <v>87</v>
      </c>
      <c r="M12" s="586" t="s">
        <v>166</v>
      </c>
      <c r="N12" s="586" t="s">
        <v>167</v>
      </c>
      <c r="O12" s="586" t="s">
        <v>350</v>
      </c>
      <c r="P12" s="581"/>
      <c r="Q12" s="582"/>
      <c r="R12" s="582"/>
      <c r="S12" s="583"/>
      <c r="T12" s="576"/>
      <c r="V12" s="230"/>
      <c r="W12" s="230"/>
      <c r="AB12" s="226"/>
      <c r="AD12" s="226"/>
      <c r="AE12" s="226"/>
      <c r="AF12" s="226"/>
    </row>
    <row r="13" spans="1:32" ht="16.5" customHeight="1" x14ac:dyDescent="0.2">
      <c r="A13" s="589"/>
      <c r="B13" s="576"/>
      <c r="C13" s="591"/>
      <c r="D13" s="593"/>
      <c r="E13" s="587"/>
      <c r="F13" s="587"/>
      <c r="G13" s="587"/>
      <c r="H13" s="587"/>
      <c r="I13" s="587"/>
      <c r="J13" s="587"/>
      <c r="K13" s="587"/>
      <c r="L13" s="587"/>
      <c r="M13" s="587"/>
      <c r="N13" s="587"/>
      <c r="O13" s="587"/>
      <c r="P13" s="231"/>
      <c r="Q13" s="232" t="s">
        <v>279</v>
      </c>
      <c r="R13" s="232" t="s">
        <v>203</v>
      </c>
      <c r="S13" s="232" t="s">
        <v>175</v>
      </c>
      <c r="T13" s="576"/>
      <c r="V13" s="230"/>
      <c r="W13" s="230"/>
      <c r="X13" s="230"/>
      <c r="Y13" s="230"/>
      <c r="Z13" s="230"/>
      <c r="AA13" s="230"/>
      <c r="AB13" s="226"/>
      <c r="AD13" s="226"/>
      <c r="AE13" s="226"/>
      <c r="AF13" s="226"/>
    </row>
    <row r="14" spans="1:32" ht="16" customHeight="1" x14ac:dyDescent="0.2">
      <c r="A14" s="589"/>
      <c r="B14" s="577"/>
      <c r="C14" s="592"/>
      <c r="D14" s="593"/>
      <c r="E14" s="588"/>
      <c r="F14" s="588"/>
      <c r="G14" s="588"/>
      <c r="H14" s="588"/>
      <c r="I14" s="588"/>
      <c r="J14" s="588"/>
      <c r="K14" s="588"/>
      <c r="L14" s="588"/>
      <c r="M14" s="588"/>
      <c r="N14" s="588"/>
      <c r="O14" s="588"/>
      <c r="P14" s="233"/>
      <c r="Q14" s="234">
        <f>SUM(Q15:Q214)</f>
        <v>0</v>
      </c>
      <c r="R14" s="234">
        <f>SUM(R15:R214)</f>
        <v>0</v>
      </c>
      <c r="S14" s="234">
        <f>SUM(S15:S214)</f>
        <v>0</v>
      </c>
      <c r="T14" s="577"/>
      <c r="V14" s="230"/>
      <c r="W14" s="230"/>
      <c r="X14" s="230" t="s">
        <v>220</v>
      </c>
      <c r="Y14" s="230" t="s">
        <v>221</v>
      </c>
      <c r="Z14" s="230"/>
      <c r="AA14" s="230" t="s">
        <v>222</v>
      </c>
      <c r="AB14" s="226"/>
      <c r="AC14" s="226"/>
      <c r="AD14" s="226"/>
      <c r="AE14" s="226"/>
      <c r="AF14" s="226"/>
    </row>
    <row r="15" spans="1:32" x14ac:dyDescent="0.2">
      <c r="A15" s="221" t="str">
        <f>IF($D15="","",COUNTA($D$15:$D15))</f>
        <v/>
      </c>
      <c r="B15" s="235"/>
      <c r="C15" s="235"/>
      <c r="D15" s="235"/>
      <c r="E15" s="337"/>
      <c r="F15" s="337"/>
      <c r="G15" s="337"/>
      <c r="H15" s="338"/>
      <c r="I15" s="339" t="str">
        <f>IF(OR(G15=0,H15=0),"",ROUNDDOWN(G15*H15,3))</f>
        <v/>
      </c>
      <c r="J15" s="236" t="str">
        <f ca="1">IFERROR(VLOOKUP($G15,INDIRECT("判定!"&amp;ADDRESS(ROW(判定!$N$2)+1,COLUMN(判定!$N$2)+MATCH($D15,判定!$N$2:$W$2,0)-1,4,1)&amp;":"&amp;ADDRESS(ROW(判定!$O$2)+4,COLUMN(判定!$N$2)+MATCH($D15,判定!$N$2:$W$2,0),4,1),1),2,1),"")</f>
        <v/>
      </c>
      <c r="K15" s="340"/>
      <c r="L15" s="341"/>
      <c r="M15" s="330"/>
      <c r="N15" s="330"/>
      <c r="O15" s="331"/>
      <c r="P15" s="237"/>
      <c r="Q15" s="234" t="str">
        <f>IF(COUNTIF(判定!$L$2:$L$9,$D15)&gt;0,$P15,"")</f>
        <v/>
      </c>
      <c r="R15" s="234" t="str">
        <f>IF(COUNTIF(判定!$L$10:$L$20,$D15)&gt;0,$P15,"")</f>
        <v/>
      </c>
      <c r="S15" s="234" t="str">
        <f>IF(COUNTIF(判定!$L$21,$D15)&gt;0,$P15,"")</f>
        <v/>
      </c>
      <c r="T15" s="341"/>
      <c r="V15" s="226"/>
      <c r="W15" s="221" t="str">
        <f>IF(OR($C15=判定!$K$2,$C15=判定!$K$3,$C15=判定!$K$4,$C15=判定!$K$5),"",IF(COUNTIF($C$15:$C15,$C15)=1,ROW(),""))</f>
        <v/>
      </c>
      <c r="X15" s="221">
        <f>IFERROR(INDEX($C:$C,SMALL($W:$W,ROW($A1))),0)</f>
        <v>0</v>
      </c>
      <c r="Y15" s="221">
        <f>IF(COUNTIF($C:$C,$X15)&gt;0,1,0)+IF(OR(COUNTIFS($C:$C,$X15,$D:$D,判定!$L$2)&gt;0,COUNTIFS($C:$C,$X15,$D:$D,判定!$L$3)&gt;0,COUNTIFS($C:$C,$X15,$D:$D,判定!$L$4)&gt;0),1,0)+IF(COUNTIFS($C:$C,$X15,$D:$D,判定!$L$7)&gt;0,1,0)+IF(COUNTIFS($C:$C,$X15,$D:$D,判定!$L$8)&gt;0,1,0)+IF(COUNTIFS($C:$C,$X15,$D:$D,判定!$L$9)&gt;0,1,0)</f>
        <v>0</v>
      </c>
      <c r="Z15" s="221" t="str">
        <f>IF(Y15&gt;0,Y15*100+COUNTIF($Y$15:Y15,Y15),"")</f>
        <v/>
      </c>
      <c r="AA15" s="221" t="e">
        <f>INDEX($X:$X,MATCH(LARGE($Z:$Z,ROW($A1)),$Z:$Z,0))</f>
        <v>#NUM!</v>
      </c>
      <c r="AB15" s="226"/>
      <c r="AC15" s="226"/>
      <c r="AD15" s="226"/>
      <c r="AE15" s="226"/>
      <c r="AF15" s="226"/>
    </row>
    <row r="16" spans="1:32" x14ac:dyDescent="0.2">
      <c r="A16" s="221" t="str">
        <f>IF($D16="","",COUNTA($D$15:$D16))</f>
        <v/>
      </c>
      <c r="B16" s="235"/>
      <c r="C16" s="235"/>
      <c r="D16" s="235"/>
      <c r="E16" s="337"/>
      <c r="F16" s="337"/>
      <c r="G16" s="337"/>
      <c r="H16" s="338"/>
      <c r="I16" s="339" t="str">
        <f t="shared" ref="I16:I149" si="0">IF(OR(G16=0,H16=0),"",ROUNDDOWN(G16*H16,3))</f>
        <v/>
      </c>
      <c r="J16" s="236" t="str">
        <f ca="1">IFERROR(VLOOKUP($G16,INDIRECT("判定!"&amp;ADDRESS(ROW(判定!$N$2)+1,COLUMN(判定!$N$2)+MATCH($D16,判定!$N$2:$W$2,0)-1,4,1)&amp;":"&amp;ADDRESS(ROW(判定!$O$2)+4,COLUMN(判定!$N$2)+MATCH($D16,判定!$N$2:$W$2,0),4,1),1),2,1),"")</f>
        <v/>
      </c>
      <c r="K16" s="340"/>
      <c r="L16" s="341"/>
      <c r="M16" s="330"/>
      <c r="N16" s="330"/>
      <c r="O16" s="331"/>
      <c r="P16" s="237"/>
      <c r="Q16" s="234" t="str">
        <f>IF(COUNTIF(判定!$L$2:$L$9,$D16)&gt;0,$P16,"")</f>
        <v/>
      </c>
      <c r="R16" s="234" t="str">
        <f>IF(COUNTIF(判定!$L$10:$L$20,$D16)&gt;0,$P16,"")</f>
        <v/>
      </c>
      <c r="S16" s="234" t="str">
        <f>IF(COUNTIF(判定!$L$21,$D16)&gt;0,$P16,"")</f>
        <v/>
      </c>
      <c r="T16" s="341"/>
      <c r="V16" s="226"/>
      <c r="W16" s="221" t="str">
        <f>IF(OR($C16=判定!$K$2,$C16=判定!$K$3,$C16=判定!$K$4,$C16=判定!$K$5),"",IF(COUNTIF($C$15:$C16,$C16)=1,ROW(),""))</f>
        <v/>
      </c>
      <c r="X16" s="221">
        <f t="shared" ref="X16:X79" si="1">IFERROR(INDEX($C:$C,SMALL($W:$W,ROW($A2))),0)</f>
        <v>0</v>
      </c>
      <c r="Y16" s="221">
        <f>IF(COUNTIF($C:$C,$X16)&gt;0,1,0)+IF(OR(COUNTIFS($C:$C,$X16,$D:$D,判定!$L$2)&gt;0,COUNTIFS($C:$C,$X16,$D:$D,判定!$L$3)&gt;0,COUNTIFS($C:$C,$X16,$D:$D,判定!$L$4)&gt;0),1,0)+IF(COUNTIFS($C:$C,$X16,$D:$D,判定!$L$7)&gt;0,1,0)+IF(COUNTIFS($C:$C,$X16,$D:$D,判定!$L$8)&gt;0,1,0)+IF(COUNTIFS($C:$C,$X16,$D:$D,判定!$L$9)&gt;0,1,0)</f>
        <v>0</v>
      </c>
      <c r="Z16" s="221" t="str">
        <f>IF(Y16&gt;0,Y16*100+COUNTIF($Y$15:Y16,Y16),"")</f>
        <v/>
      </c>
      <c r="AA16" s="221" t="e">
        <f t="shared" ref="AA16:AA79" si="2">INDEX($X:$X,MATCH(LARGE($Z:$Z,ROW($A2)),$Z:$Z,0))</f>
        <v>#NUM!</v>
      </c>
      <c r="AB16" s="226"/>
      <c r="AC16" s="226"/>
      <c r="AD16" s="226"/>
      <c r="AE16" s="226"/>
      <c r="AF16" s="226"/>
    </row>
    <row r="17" spans="1:32" x14ac:dyDescent="0.2">
      <c r="A17" s="221" t="str">
        <f>IF($D17="","",COUNTA($D$15:$D17))</f>
        <v/>
      </c>
      <c r="B17" s="235"/>
      <c r="C17" s="235"/>
      <c r="D17" s="235"/>
      <c r="E17" s="337"/>
      <c r="F17" s="337"/>
      <c r="G17" s="337"/>
      <c r="H17" s="338"/>
      <c r="I17" s="339" t="str">
        <f t="shared" si="0"/>
        <v/>
      </c>
      <c r="J17" s="236" t="str">
        <f ca="1">IFERROR(VLOOKUP($G17,INDIRECT("判定!"&amp;ADDRESS(ROW(判定!$N$2)+1,COLUMN(判定!$N$2)+MATCH($D17,判定!$N$2:$W$2,0)-1,4,1)&amp;":"&amp;ADDRESS(ROW(判定!$O$2)+4,COLUMN(判定!$N$2)+MATCH($D17,判定!$N$2:$W$2,0),4,1),1),2,1),"")</f>
        <v/>
      </c>
      <c r="K17" s="340"/>
      <c r="L17" s="341"/>
      <c r="M17" s="330"/>
      <c r="N17" s="330"/>
      <c r="O17" s="331"/>
      <c r="P17" s="237"/>
      <c r="Q17" s="234" t="str">
        <f>IF(COUNTIF(判定!$L$2:$L$9,$D17)&gt;0,$P17,"")</f>
        <v/>
      </c>
      <c r="R17" s="234" t="str">
        <f>IF(COUNTIF(判定!$L$10:$L$20,$D17)&gt;0,$P17,"")</f>
        <v/>
      </c>
      <c r="S17" s="234" t="str">
        <f>IF(COUNTIF(判定!$L$21,$D17)&gt;0,$P17,"")</f>
        <v/>
      </c>
      <c r="T17" s="341"/>
      <c r="V17" s="226"/>
      <c r="W17" s="221" t="str">
        <f>IF(OR($C17=判定!$K$2,$C17=判定!$K$3,$C17=判定!$K$4,$C17=判定!$K$5),"",IF(COUNTIF($C$15:$C17,$C17)=1,ROW(),""))</f>
        <v/>
      </c>
      <c r="X17" s="221">
        <f t="shared" si="1"/>
        <v>0</v>
      </c>
      <c r="Y17" s="221">
        <f>IF(COUNTIF($C:$C,$X17)&gt;0,1,0)+IF(OR(COUNTIFS($C:$C,$X17,$D:$D,判定!$L$2)&gt;0,COUNTIFS($C:$C,$X17,$D:$D,判定!$L$3)&gt;0,COUNTIFS($C:$C,$X17,$D:$D,判定!$L$4)&gt;0),1,0)+IF(COUNTIFS($C:$C,$X17,$D:$D,判定!$L$7)&gt;0,1,0)+IF(COUNTIFS($C:$C,$X17,$D:$D,判定!$L$8)&gt;0,1,0)+IF(COUNTIFS($C:$C,$X17,$D:$D,判定!$L$9)&gt;0,1,0)</f>
        <v>0</v>
      </c>
      <c r="Z17" s="221" t="str">
        <f>IF(Y17&gt;0,Y17*100+COUNTIF($Y$15:Y17,Y17),"")</f>
        <v/>
      </c>
      <c r="AA17" s="221" t="e">
        <f t="shared" si="2"/>
        <v>#NUM!</v>
      </c>
      <c r="AB17" s="226"/>
      <c r="AC17" s="226"/>
      <c r="AD17" s="226"/>
      <c r="AE17" s="226"/>
      <c r="AF17" s="226"/>
    </row>
    <row r="18" spans="1:32" x14ac:dyDescent="0.2">
      <c r="A18" s="221" t="str">
        <f>IF($D18="","",COUNTA($D$15:$D18))</f>
        <v/>
      </c>
      <c r="B18" s="235"/>
      <c r="C18" s="235"/>
      <c r="D18" s="235"/>
      <c r="E18" s="337"/>
      <c r="F18" s="337"/>
      <c r="G18" s="337"/>
      <c r="H18" s="338"/>
      <c r="I18" s="339" t="str">
        <f t="shared" si="0"/>
        <v/>
      </c>
      <c r="J18" s="236" t="str">
        <f ca="1">IFERROR(VLOOKUP($G18,INDIRECT("判定!"&amp;ADDRESS(ROW(判定!$N$2)+1,COLUMN(判定!$N$2)+MATCH($D18,判定!$N$2:$W$2,0)-1,4,1)&amp;":"&amp;ADDRESS(ROW(判定!$O$2)+4,COLUMN(判定!$N$2)+MATCH($D18,判定!$N$2:$W$2,0),4,1),1),2,1),"")</f>
        <v/>
      </c>
      <c r="K18" s="340"/>
      <c r="L18" s="341"/>
      <c r="M18" s="330"/>
      <c r="N18" s="330"/>
      <c r="O18" s="331"/>
      <c r="P18" s="237"/>
      <c r="Q18" s="234" t="str">
        <f>IF(COUNTIF(判定!$L$2:$L$9,$D18)&gt;0,$P18,"")</f>
        <v/>
      </c>
      <c r="R18" s="234" t="str">
        <f>IF(COUNTIF(判定!$L$10:$L$20,$D18)&gt;0,$P18,"")</f>
        <v/>
      </c>
      <c r="S18" s="234" t="str">
        <f>IF(COUNTIF(判定!$L$21,$D18)&gt;0,$P18,"")</f>
        <v/>
      </c>
      <c r="T18" s="341"/>
      <c r="V18" s="226"/>
      <c r="W18" s="221" t="str">
        <f>IF(OR($C18=判定!$K$2,$C18=判定!$K$3,$C18=判定!$K$4,$C18=判定!$K$5),"",IF(COUNTIF($C$15:$C18,$C18)=1,ROW(),""))</f>
        <v/>
      </c>
      <c r="X18" s="221">
        <f t="shared" si="1"/>
        <v>0</v>
      </c>
      <c r="Y18" s="221">
        <f>IF(COUNTIF($C:$C,$X18)&gt;0,1,0)+IF(OR(COUNTIFS($C:$C,$X18,$D:$D,判定!$L$2)&gt;0,COUNTIFS($C:$C,$X18,$D:$D,判定!$L$3)&gt;0,COUNTIFS($C:$C,$X18,$D:$D,判定!$L$4)&gt;0),1,0)+IF(COUNTIFS($C:$C,$X18,$D:$D,判定!$L$7)&gt;0,1,0)+IF(COUNTIFS($C:$C,$X18,$D:$D,判定!$L$8)&gt;0,1,0)+IF(COUNTIFS($C:$C,$X18,$D:$D,判定!$L$9)&gt;0,1,0)</f>
        <v>0</v>
      </c>
      <c r="Z18" s="221" t="str">
        <f>IF(Y18&gt;0,Y18*100+COUNTIF($Y$15:Y18,Y18),"")</f>
        <v/>
      </c>
      <c r="AA18" s="221" t="e">
        <f t="shared" si="2"/>
        <v>#NUM!</v>
      </c>
      <c r="AB18" s="226"/>
      <c r="AC18" s="226"/>
      <c r="AD18" s="226"/>
      <c r="AE18" s="226"/>
      <c r="AF18" s="226"/>
    </row>
    <row r="19" spans="1:32" x14ac:dyDescent="0.2">
      <c r="A19" s="221" t="str">
        <f>IF($D19="","",COUNTA($D$15:$D19))</f>
        <v/>
      </c>
      <c r="B19" s="235"/>
      <c r="C19" s="235"/>
      <c r="D19" s="235"/>
      <c r="E19" s="337"/>
      <c r="F19" s="337"/>
      <c r="G19" s="337"/>
      <c r="H19" s="338"/>
      <c r="I19" s="339" t="str">
        <f t="shared" si="0"/>
        <v/>
      </c>
      <c r="J19" s="236" t="str">
        <f ca="1">IFERROR(VLOOKUP($G19,INDIRECT("判定!"&amp;ADDRESS(ROW(判定!$N$2)+1,COLUMN(判定!$N$2)+MATCH($D19,判定!$N$2:$W$2,0)-1,4,1)&amp;":"&amp;ADDRESS(ROW(判定!$O$2)+4,COLUMN(判定!$N$2)+MATCH($D19,判定!$N$2:$W$2,0),4,1),1),2,1),"")</f>
        <v/>
      </c>
      <c r="K19" s="340"/>
      <c r="L19" s="341"/>
      <c r="M19" s="330"/>
      <c r="N19" s="330"/>
      <c r="O19" s="331"/>
      <c r="P19" s="237"/>
      <c r="Q19" s="234" t="str">
        <f>IF(COUNTIF(判定!$L$2:$L$9,$D19)&gt;0,$P19,"")</f>
        <v/>
      </c>
      <c r="R19" s="234" t="str">
        <f>IF(COUNTIF(判定!$L$10:$L$20,$D19)&gt;0,$P19,"")</f>
        <v/>
      </c>
      <c r="S19" s="234" t="str">
        <f>IF(COUNTIF(判定!$L$21,$D19)&gt;0,$P19,"")</f>
        <v/>
      </c>
      <c r="T19" s="341"/>
      <c r="V19" s="226"/>
      <c r="W19" s="221" t="str">
        <f>IF(OR($C19=判定!$K$2,$C19=判定!$K$3,$C19=判定!$K$4,$C19=判定!$K$5),"",IF(COUNTIF($C$15:$C19,$C19)=1,ROW(),""))</f>
        <v/>
      </c>
      <c r="X19" s="221">
        <f t="shared" si="1"/>
        <v>0</v>
      </c>
      <c r="Y19" s="221">
        <f>IF(COUNTIF($C:$C,$X19)&gt;0,1,0)+IF(OR(COUNTIFS($C:$C,$X19,$D:$D,判定!$L$2)&gt;0,COUNTIFS($C:$C,$X19,$D:$D,判定!$L$3)&gt;0,COUNTIFS($C:$C,$X19,$D:$D,判定!$L$4)&gt;0),1,0)+IF(COUNTIFS($C:$C,$X19,$D:$D,判定!$L$7)&gt;0,1,0)+IF(COUNTIFS($C:$C,$X19,$D:$D,判定!$L$8)&gt;0,1,0)+IF(COUNTIFS($C:$C,$X19,$D:$D,判定!$L$9)&gt;0,1,0)</f>
        <v>0</v>
      </c>
      <c r="Z19" s="221" t="str">
        <f>IF(Y19&gt;0,Y19*100+COUNTIF($Y$15:Y19,Y19),"")</f>
        <v/>
      </c>
      <c r="AA19" s="221" t="e">
        <f t="shared" si="2"/>
        <v>#NUM!</v>
      </c>
      <c r="AB19" s="226"/>
      <c r="AC19" s="226"/>
      <c r="AD19" s="226"/>
      <c r="AE19" s="226"/>
      <c r="AF19" s="226"/>
    </row>
    <row r="20" spans="1:32" ht="13" customHeight="1" x14ac:dyDescent="0.2">
      <c r="A20" s="221" t="str">
        <f>IF($D20="","",COUNTA($D$15:$D20))</f>
        <v/>
      </c>
      <c r="B20" s="235"/>
      <c r="C20" s="235"/>
      <c r="D20" s="235"/>
      <c r="E20" s="337"/>
      <c r="F20" s="337"/>
      <c r="G20" s="337"/>
      <c r="H20" s="338"/>
      <c r="I20" s="339" t="str">
        <f t="shared" si="0"/>
        <v/>
      </c>
      <c r="J20" s="236" t="str">
        <f ca="1">IFERROR(VLOOKUP($G20,INDIRECT("判定!"&amp;ADDRESS(ROW(判定!$N$2)+1,COLUMN(判定!$N$2)+MATCH($D20,判定!$N$2:$W$2,0)-1,4,1)&amp;":"&amp;ADDRESS(ROW(判定!$O$2)+4,COLUMN(判定!$N$2)+MATCH($D20,判定!$N$2:$W$2,0),4,1),1),2,1),"")</f>
        <v/>
      </c>
      <c r="K20" s="340"/>
      <c r="L20" s="341"/>
      <c r="M20" s="330"/>
      <c r="N20" s="330"/>
      <c r="O20" s="331"/>
      <c r="P20" s="237"/>
      <c r="Q20" s="234" t="str">
        <f>IF(COUNTIF(判定!$L$2:$L$9,$D20)&gt;0,$P20,"")</f>
        <v/>
      </c>
      <c r="R20" s="234" t="str">
        <f>IF(COUNTIF(判定!$L$10:$L$20,$D20)&gt;0,$P20,"")</f>
        <v/>
      </c>
      <c r="S20" s="234" t="str">
        <f>IF(COUNTIF(判定!$L$21,$D20)&gt;0,$P20,"")</f>
        <v/>
      </c>
      <c r="T20" s="341"/>
      <c r="V20" s="226"/>
      <c r="W20" s="221" t="str">
        <f>IF(OR($C20=判定!$K$2,$C20=判定!$K$3,$C20=判定!$K$4,$C20=判定!$K$5),"",IF(COUNTIF($C$15:$C20,$C20)=1,ROW(),""))</f>
        <v/>
      </c>
      <c r="X20" s="221">
        <f t="shared" si="1"/>
        <v>0</v>
      </c>
      <c r="Y20" s="221">
        <f>IF(COUNTIF($C:$C,$X20)&gt;0,1,0)+IF(OR(COUNTIFS($C:$C,$X20,$D:$D,判定!$L$2)&gt;0,COUNTIFS($C:$C,$X20,$D:$D,判定!$L$3)&gt;0,COUNTIFS($C:$C,$X20,$D:$D,判定!$L$4)&gt;0),1,0)+IF(COUNTIFS($C:$C,$X20,$D:$D,判定!$L$7)&gt;0,1,0)+IF(COUNTIFS($C:$C,$X20,$D:$D,判定!$L$8)&gt;0,1,0)+IF(COUNTIFS($C:$C,$X20,$D:$D,判定!$L$9)&gt;0,1,0)</f>
        <v>0</v>
      </c>
      <c r="Z20" s="221" t="str">
        <f>IF(Y20&gt;0,Y20*100+COUNTIF($Y$15:Y20,Y20),"")</f>
        <v/>
      </c>
      <c r="AA20" s="221" t="e">
        <f t="shared" si="2"/>
        <v>#NUM!</v>
      </c>
      <c r="AB20" s="226"/>
      <c r="AC20" s="226"/>
      <c r="AD20" s="226"/>
      <c r="AE20" s="226"/>
      <c r="AF20" s="226"/>
    </row>
    <row r="21" spans="1:32" ht="13" customHeight="1" x14ac:dyDescent="0.2">
      <c r="A21" s="221" t="str">
        <f>IF($D21="","",COUNTA($D$15:$D21))</f>
        <v/>
      </c>
      <c r="B21" s="235"/>
      <c r="C21" s="235"/>
      <c r="D21" s="235"/>
      <c r="E21" s="337"/>
      <c r="F21" s="337"/>
      <c r="G21" s="337"/>
      <c r="H21" s="338"/>
      <c r="I21" s="339" t="str">
        <f t="shared" si="0"/>
        <v/>
      </c>
      <c r="J21" s="236" t="str">
        <f ca="1">IFERROR(VLOOKUP($G21,INDIRECT("判定!"&amp;ADDRESS(ROW(判定!$N$2)+1,COLUMN(判定!$N$2)+MATCH($D21,判定!$N$2:$W$2,0)-1,4,1)&amp;":"&amp;ADDRESS(ROW(判定!$O$2)+4,COLUMN(判定!$N$2)+MATCH($D21,判定!$N$2:$W$2,0),4,1),1),2,1),"")</f>
        <v/>
      </c>
      <c r="K21" s="340"/>
      <c r="L21" s="341"/>
      <c r="M21" s="330"/>
      <c r="N21" s="330"/>
      <c r="O21" s="331"/>
      <c r="P21" s="237"/>
      <c r="Q21" s="234" t="str">
        <f>IF(COUNTIF(判定!$L$2:$L$9,$D21)&gt;0,$P21,"")</f>
        <v/>
      </c>
      <c r="R21" s="234" t="str">
        <f>IF(COUNTIF(判定!$L$10:$L$20,$D21)&gt;0,$P21,"")</f>
        <v/>
      </c>
      <c r="S21" s="234" t="str">
        <f>IF(COUNTIF(判定!$L$21,$D21)&gt;0,$P21,"")</f>
        <v/>
      </c>
      <c r="T21" s="341"/>
      <c r="V21" s="226"/>
      <c r="W21" s="221" t="str">
        <f>IF(OR($C21=判定!$K$2,$C21=判定!$K$3,$C21=判定!$K$4,$C21=判定!$K$5),"",IF(COUNTIF($C$15:$C21,$C21)=1,ROW(),""))</f>
        <v/>
      </c>
      <c r="X21" s="221">
        <f t="shared" si="1"/>
        <v>0</v>
      </c>
      <c r="Y21" s="221">
        <f>IF(COUNTIF($C:$C,$X21)&gt;0,1,0)+IF(OR(COUNTIFS($C:$C,$X21,$D:$D,判定!$L$2)&gt;0,COUNTIFS($C:$C,$X21,$D:$D,判定!$L$3)&gt;0,COUNTIFS($C:$C,$X21,$D:$D,判定!$L$4)&gt;0),1,0)+IF(COUNTIFS($C:$C,$X21,$D:$D,判定!$L$7)&gt;0,1,0)+IF(COUNTIFS($C:$C,$X21,$D:$D,判定!$L$8)&gt;0,1,0)+IF(COUNTIFS($C:$C,$X21,$D:$D,判定!$L$9)&gt;0,1,0)</f>
        <v>0</v>
      </c>
      <c r="Z21" s="221" t="str">
        <f>IF(Y21&gt;0,Y21*100+COUNTIF($Y$15:Y21,Y21),"")</f>
        <v/>
      </c>
      <c r="AA21" s="221" t="e">
        <f t="shared" si="2"/>
        <v>#NUM!</v>
      </c>
      <c r="AB21" s="226"/>
      <c r="AC21" s="226"/>
      <c r="AD21" s="226"/>
      <c r="AE21" s="226"/>
      <c r="AF21" s="226"/>
    </row>
    <row r="22" spans="1:32" x14ac:dyDescent="0.2">
      <c r="A22" s="221" t="str">
        <f>IF($D22="","",COUNTA($D$15:$D22))</f>
        <v/>
      </c>
      <c r="B22" s="235"/>
      <c r="C22" s="235"/>
      <c r="D22" s="235"/>
      <c r="E22" s="337"/>
      <c r="F22" s="337"/>
      <c r="G22" s="337"/>
      <c r="H22" s="338"/>
      <c r="I22" s="339" t="str">
        <f t="shared" si="0"/>
        <v/>
      </c>
      <c r="J22" s="236" t="str">
        <f ca="1">IFERROR(VLOOKUP($G22,INDIRECT("判定!"&amp;ADDRESS(ROW(判定!$N$2)+1,COLUMN(判定!$N$2)+MATCH($D22,判定!$N$2:$W$2,0)-1,4,1)&amp;":"&amp;ADDRESS(ROW(判定!$O$2)+4,COLUMN(判定!$N$2)+MATCH($D22,判定!$N$2:$W$2,0),4,1),1),2,1),"")</f>
        <v/>
      </c>
      <c r="K22" s="340"/>
      <c r="L22" s="341"/>
      <c r="M22" s="330"/>
      <c r="N22" s="330"/>
      <c r="O22" s="331"/>
      <c r="P22" s="237"/>
      <c r="Q22" s="234" t="str">
        <f>IF(COUNTIF(判定!$L$2:$L$9,$D22)&gt;0,$P22,"")</f>
        <v/>
      </c>
      <c r="R22" s="234" t="str">
        <f>IF(COUNTIF(判定!$L$10:$L$20,$D22)&gt;0,$P22,"")</f>
        <v/>
      </c>
      <c r="S22" s="234" t="str">
        <f>IF(COUNTIF(判定!$L$21,$D22)&gt;0,$P22,"")</f>
        <v/>
      </c>
      <c r="T22" s="341"/>
      <c r="V22" s="226"/>
      <c r="W22" s="221" t="str">
        <f>IF(OR($C22=判定!$K$2,$C22=判定!$K$3,$C22=判定!$K$4,$C22=判定!$K$5),"",IF(COUNTIF($C$15:$C22,$C22)=1,ROW(),""))</f>
        <v/>
      </c>
      <c r="X22" s="221">
        <f t="shared" si="1"/>
        <v>0</v>
      </c>
      <c r="Y22" s="221">
        <f>IF(COUNTIF($C:$C,$X22)&gt;0,1,0)+IF(OR(COUNTIFS($C:$C,$X22,$D:$D,判定!$L$2)&gt;0,COUNTIFS($C:$C,$X22,$D:$D,判定!$L$3)&gt;0,COUNTIFS($C:$C,$X22,$D:$D,判定!$L$4)&gt;0),1,0)+IF(COUNTIFS($C:$C,$X22,$D:$D,判定!$L$7)&gt;0,1,0)+IF(COUNTIFS($C:$C,$X22,$D:$D,判定!$L$8)&gt;0,1,0)+IF(COUNTIFS($C:$C,$X22,$D:$D,判定!$L$9)&gt;0,1,0)</f>
        <v>0</v>
      </c>
      <c r="Z22" s="221" t="str">
        <f>IF(Y22&gt;0,Y22*100+COUNTIF($Y$15:Y22,Y22),"")</f>
        <v/>
      </c>
      <c r="AA22" s="221" t="e">
        <f t="shared" si="2"/>
        <v>#NUM!</v>
      </c>
      <c r="AB22" s="226"/>
      <c r="AC22" s="226"/>
      <c r="AD22" s="226"/>
      <c r="AE22" s="226"/>
      <c r="AF22" s="226"/>
    </row>
    <row r="23" spans="1:32" x14ac:dyDescent="0.2">
      <c r="A23" s="221" t="str">
        <f>IF($D23="","",COUNTA($D$15:$D23))</f>
        <v/>
      </c>
      <c r="B23" s="235"/>
      <c r="C23" s="235"/>
      <c r="D23" s="235"/>
      <c r="E23" s="337"/>
      <c r="F23" s="337"/>
      <c r="G23" s="337"/>
      <c r="H23" s="338"/>
      <c r="I23" s="339" t="str">
        <f t="shared" si="0"/>
        <v/>
      </c>
      <c r="J23" s="236" t="str">
        <f ca="1">IFERROR(VLOOKUP($G23,INDIRECT("判定!"&amp;ADDRESS(ROW(判定!$N$2)+1,COLUMN(判定!$N$2)+MATCH($D23,判定!$N$2:$W$2,0)-1,4,1)&amp;":"&amp;ADDRESS(ROW(判定!$O$2)+4,COLUMN(判定!$N$2)+MATCH($D23,判定!$N$2:$W$2,0),4,1),1),2,1),"")</f>
        <v/>
      </c>
      <c r="K23" s="340"/>
      <c r="L23" s="341"/>
      <c r="M23" s="330"/>
      <c r="N23" s="330"/>
      <c r="O23" s="331"/>
      <c r="P23" s="237"/>
      <c r="Q23" s="234" t="str">
        <f>IF(COUNTIF(判定!$L$2:$L$9,$D23)&gt;0,$P23,"")</f>
        <v/>
      </c>
      <c r="R23" s="234" t="str">
        <f>IF(COUNTIF(判定!$L$10:$L$20,$D23)&gt;0,$P23,"")</f>
        <v/>
      </c>
      <c r="S23" s="234" t="str">
        <f>IF(COUNTIF(判定!$L$21,$D23)&gt;0,$P23,"")</f>
        <v/>
      </c>
      <c r="T23" s="341"/>
      <c r="V23" s="226"/>
      <c r="W23" s="221" t="str">
        <f>IF(OR($C23=判定!$K$2,$C23=判定!$K$3,$C23=判定!$K$4,$C23=判定!$K$5),"",IF(COUNTIF($C$15:$C23,$C23)=1,ROW(),""))</f>
        <v/>
      </c>
      <c r="X23" s="221">
        <f t="shared" si="1"/>
        <v>0</v>
      </c>
      <c r="Y23" s="221">
        <f>IF(COUNTIF($C:$C,$X23)&gt;0,1,0)+IF(OR(COUNTIFS($C:$C,$X23,$D:$D,判定!$L$2)&gt;0,COUNTIFS($C:$C,$X23,$D:$D,判定!$L$3)&gt;0,COUNTIFS($C:$C,$X23,$D:$D,判定!$L$4)&gt;0),1,0)+IF(COUNTIFS($C:$C,$X23,$D:$D,判定!$L$7)&gt;0,1,0)+IF(COUNTIFS($C:$C,$X23,$D:$D,判定!$L$8)&gt;0,1,0)+IF(COUNTIFS($C:$C,$X23,$D:$D,判定!$L$9)&gt;0,1,0)</f>
        <v>0</v>
      </c>
      <c r="Z23" s="221" t="str">
        <f>IF(Y23&gt;0,Y23*100+COUNTIF($Y$15:Y23,Y23),"")</f>
        <v/>
      </c>
      <c r="AA23" s="221" t="e">
        <f t="shared" si="2"/>
        <v>#NUM!</v>
      </c>
      <c r="AB23" s="226"/>
      <c r="AC23" s="226"/>
      <c r="AD23" s="226"/>
      <c r="AE23" s="226"/>
      <c r="AF23" s="226"/>
    </row>
    <row r="24" spans="1:32" x14ac:dyDescent="0.2">
      <c r="A24" s="221" t="str">
        <f>IF($D24="","",COUNTA($D$15:$D24))</f>
        <v/>
      </c>
      <c r="B24" s="235"/>
      <c r="C24" s="235"/>
      <c r="D24" s="235"/>
      <c r="E24" s="337"/>
      <c r="F24" s="337"/>
      <c r="G24" s="337"/>
      <c r="H24" s="338"/>
      <c r="I24" s="339" t="str">
        <f t="shared" si="0"/>
        <v/>
      </c>
      <c r="J24" s="236" t="str">
        <f ca="1">IFERROR(VLOOKUP($G24,INDIRECT("判定!"&amp;ADDRESS(ROW(判定!$N$2)+1,COLUMN(判定!$N$2)+MATCH($D24,判定!$N$2:$W$2,0)-1,4,1)&amp;":"&amp;ADDRESS(ROW(判定!$O$2)+4,COLUMN(判定!$N$2)+MATCH($D24,判定!$N$2:$W$2,0),4,1),1),2,1),"")</f>
        <v/>
      </c>
      <c r="K24" s="340"/>
      <c r="L24" s="341"/>
      <c r="M24" s="330"/>
      <c r="N24" s="330"/>
      <c r="O24" s="331"/>
      <c r="P24" s="237"/>
      <c r="Q24" s="234" t="str">
        <f>IF(COUNTIF(判定!$L$2:$L$9,$D24)&gt;0,$P24,"")</f>
        <v/>
      </c>
      <c r="R24" s="234" t="str">
        <f>IF(COUNTIF(判定!$L$10:$L$20,$D24)&gt;0,$P24,"")</f>
        <v/>
      </c>
      <c r="S24" s="234" t="str">
        <f>IF(COUNTIF(判定!$L$21,$D24)&gt;0,$P24,"")</f>
        <v/>
      </c>
      <c r="T24" s="341"/>
      <c r="V24" s="226"/>
      <c r="W24" s="221" t="str">
        <f>IF(OR($C24=判定!$K$2,$C24=判定!$K$3,$C24=判定!$K$4,$C24=判定!$K$5),"",IF(COUNTIF($C$15:$C24,$C24)=1,ROW(),""))</f>
        <v/>
      </c>
      <c r="X24" s="221">
        <f t="shared" si="1"/>
        <v>0</v>
      </c>
      <c r="Y24" s="221">
        <f>IF(COUNTIF($C:$C,$X24)&gt;0,1,0)+IF(OR(COUNTIFS($C:$C,$X24,$D:$D,判定!$L$2)&gt;0,COUNTIFS($C:$C,$X24,$D:$D,判定!$L$3)&gt;0,COUNTIFS($C:$C,$X24,$D:$D,判定!$L$4)&gt;0),1,0)+IF(COUNTIFS($C:$C,$X24,$D:$D,判定!$L$7)&gt;0,1,0)+IF(COUNTIFS($C:$C,$X24,$D:$D,判定!$L$8)&gt;0,1,0)+IF(COUNTIFS($C:$C,$X24,$D:$D,判定!$L$9)&gt;0,1,0)</f>
        <v>0</v>
      </c>
      <c r="Z24" s="221" t="str">
        <f>IF(Y24&gt;0,Y24*100+COUNTIF($Y$15:Y24,Y24),"")</f>
        <v/>
      </c>
      <c r="AA24" s="221" t="e">
        <f t="shared" si="2"/>
        <v>#NUM!</v>
      </c>
      <c r="AB24" s="226"/>
      <c r="AC24" s="226"/>
      <c r="AD24" s="226"/>
      <c r="AE24" s="226"/>
      <c r="AF24" s="226"/>
    </row>
    <row r="25" spans="1:32" x14ac:dyDescent="0.2">
      <c r="A25" s="221" t="str">
        <f>IF($D25="","",COUNTA($D$15:$D25))</f>
        <v/>
      </c>
      <c r="B25" s="235"/>
      <c r="C25" s="235"/>
      <c r="D25" s="235"/>
      <c r="E25" s="337"/>
      <c r="F25" s="337"/>
      <c r="G25" s="337"/>
      <c r="H25" s="338"/>
      <c r="I25" s="339" t="str">
        <f t="shared" si="0"/>
        <v/>
      </c>
      <c r="J25" s="236" t="str">
        <f ca="1">IFERROR(VLOOKUP($G25,INDIRECT("判定!"&amp;ADDRESS(ROW(判定!$N$2)+1,COLUMN(判定!$N$2)+MATCH($D25,判定!$N$2:$W$2,0)-1,4,1)&amp;":"&amp;ADDRESS(ROW(判定!$O$2)+4,COLUMN(判定!$N$2)+MATCH($D25,判定!$N$2:$W$2,0),4,1),1),2,1),"")</f>
        <v/>
      </c>
      <c r="K25" s="340"/>
      <c r="L25" s="341"/>
      <c r="M25" s="330"/>
      <c r="N25" s="330"/>
      <c r="O25" s="331"/>
      <c r="P25" s="237"/>
      <c r="Q25" s="234" t="str">
        <f>IF(COUNTIF(判定!$L$2:$L$9,$D25)&gt;0,$P25,"")</f>
        <v/>
      </c>
      <c r="R25" s="234" t="str">
        <f>IF(COUNTIF(判定!$L$10:$L$20,$D25)&gt;0,$P25,"")</f>
        <v/>
      </c>
      <c r="S25" s="234" t="str">
        <f>IF(COUNTIF(判定!$L$21,$D25)&gt;0,$P25,"")</f>
        <v/>
      </c>
      <c r="T25" s="341"/>
      <c r="V25" s="226"/>
      <c r="W25" s="221" t="str">
        <f>IF(OR($C25=判定!$K$2,$C25=判定!$K$3,$C25=判定!$K$4,$C25=判定!$K$5),"",IF(COUNTIF($C$15:$C25,$C25)=1,ROW(),""))</f>
        <v/>
      </c>
      <c r="X25" s="221">
        <f t="shared" si="1"/>
        <v>0</v>
      </c>
      <c r="Y25" s="221">
        <f>IF(COUNTIF($C:$C,$X25)&gt;0,1,0)+IF(OR(COUNTIFS($C:$C,$X25,$D:$D,判定!$L$2)&gt;0,COUNTIFS($C:$C,$X25,$D:$D,判定!$L$3)&gt;0,COUNTIFS($C:$C,$X25,$D:$D,判定!$L$4)&gt;0),1,0)+IF(COUNTIFS($C:$C,$X25,$D:$D,判定!$L$7)&gt;0,1,0)+IF(COUNTIFS($C:$C,$X25,$D:$D,判定!$L$8)&gt;0,1,0)+IF(COUNTIFS($C:$C,$X25,$D:$D,判定!$L$9)&gt;0,1,0)</f>
        <v>0</v>
      </c>
      <c r="Z25" s="221" t="str">
        <f>IF(Y25&gt;0,Y25*100+COUNTIF($Y$15:Y25,Y25),"")</f>
        <v/>
      </c>
      <c r="AA25" s="221" t="e">
        <f t="shared" si="2"/>
        <v>#NUM!</v>
      </c>
      <c r="AB25" s="226"/>
      <c r="AC25" s="226"/>
      <c r="AD25" s="226"/>
      <c r="AE25" s="226"/>
      <c r="AF25" s="226"/>
    </row>
    <row r="26" spans="1:32" x14ac:dyDescent="0.2">
      <c r="A26" s="221" t="str">
        <f>IF($D26="","",COUNTA($D$15:$D26))</f>
        <v/>
      </c>
      <c r="B26" s="235"/>
      <c r="C26" s="235"/>
      <c r="D26" s="235"/>
      <c r="E26" s="337"/>
      <c r="F26" s="337"/>
      <c r="G26" s="337"/>
      <c r="H26" s="338"/>
      <c r="I26" s="339" t="str">
        <f t="shared" si="0"/>
        <v/>
      </c>
      <c r="J26" s="236" t="str">
        <f ca="1">IFERROR(VLOOKUP($G26,INDIRECT("判定!"&amp;ADDRESS(ROW(判定!$N$2)+1,COLUMN(判定!$N$2)+MATCH($D26,判定!$N$2:$W$2,0)-1,4,1)&amp;":"&amp;ADDRESS(ROW(判定!$O$2)+4,COLUMN(判定!$N$2)+MATCH($D26,判定!$N$2:$W$2,0),4,1),1),2,1),"")</f>
        <v/>
      </c>
      <c r="K26" s="340"/>
      <c r="L26" s="341"/>
      <c r="M26" s="330"/>
      <c r="N26" s="330"/>
      <c r="O26" s="331"/>
      <c r="P26" s="237"/>
      <c r="Q26" s="234" t="str">
        <f>IF(COUNTIF(判定!$L$2:$L$9,$D26)&gt;0,$P26,"")</f>
        <v/>
      </c>
      <c r="R26" s="234" t="str">
        <f>IF(COUNTIF(判定!$L$10:$L$20,$D26)&gt;0,$P26,"")</f>
        <v/>
      </c>
      <c r="S26" s="234" t="str">
        <f>IF(COUNTIF(判定!$L$21,$D26)&gt;0,$P26,"")</f>
        <v/>
      </c>
      <c r="T26" s="341"/>
      <c r="V26" s="226"/>
      <c r="W26" s="221" t="str">
        <f>IF(OR($C26=判定!$K$2,$C26=判定!$K$3,$C26=判定!$K$4,$C26=判定!$K$5),"",IF(COUNTIF($C$15:$C26,$C26)=1,ROW(),""))</f>
        <v/>
      </c>
      <c r="X26" s="221">
        <f t="shared" si="1"/>
        <v>0</v>
      </c>
      <c r="Y26" s="221">
        <f>IF(COUNTIF($C:$C,$X26)&gt;0,1,0)+IF(OR(COUNTIFS($C:$C,$X26,$D:$D,判定!$L$2)&gt;0,COUNTIFS($C:$C,$X26,$D:$D,判定!$L$3)&gt;0,COUNTIFS($C:$C,$X26,$D:$D,判定!$L$4)&gt;0),1,0)+IF(COUNTIFS($C:$C,$X26,$D:$D,判定!$L$7)&gt;0,1,0)+IF(COUNTIFS($C:$C,$X26,$D:$D,判定!$L$8)&gt;0,1,0)+IF(COUNTIFS($C:$C,$X26,$D:$D,判定!$L$9)&gt;0,1,0)</f>
        <v>0</v>
      </c>
      <c r="Z26" s="221" t="str">
        <f>IF(Y26&gt;0,Y26*100+COUNTIF($Y$15:Y26,Y26),"")</f>
        <v/>
      </c>
      <c r="AA26" s="221" t="e">
        <f t="shared" si="2"/>
        <v>#NUM!</v>
      </c>
      <c r="AB26" s="226"/>
      <c r="AC26" s="226"/>
      <c r="AD26" s="226"/>
      <c r="AE26" s="226"/>
      <c r="AF26" s="226"/>
    </row>
    <row r="27" spans="1:32" x14ac:dyDescent="0.2">
      <c r="A27" s="221" t="str">
        <f>IF($D27="","",COUNTA($D$15:$D27))</f>
        <v/>
      </c>
      <c r="B27" s="235"/>
      <c r="C27" s="235"/>
      <c r="D27" s="235"/>
      <c r="E27" s="337"/>
      <c r="F27" s="337"/>
      <c r="G27" s="337"/>
      <c r="H27" s="338"/>
      <c r="I27" s="339" t="str">
        <f t="shared" si="0"/>
        <v/>
      </c>
      <c r="J27" s="236" t="str">
        <f ca="1">IFERROR(VLOOKUP($G27,INDIRECT("判定!"&amp;ADDRESS(ROW(判定!$N$2)+1,COLUMN(判定!$N$2)+MATCH($D27,判定!$N$2:$W$2,0)-1,4,1)&amp;":"&amp;ADDRESS(ROW(判定!$O$2)+4,COLUMN(判定!$N$2)+MATCH($D27,判定!$N$2:$W$2,0),4,1),1),2,1),"")</f>
        <v/>
      </c>
      <c r="K27" s="340"/>
      <c r="L27" s="341"/>
      <c r="M27" s="330"/>
      <c r="N27" s="330"/>
      <c r="O27" s="331"/>
      <c r="P27" s="237"/>
      <c r="Q27" s="234" t="str">
        <f>IF(COUNTIF(判定!$L$2:$L$9,$D27)&gt;0,$P27,"")</f>
        <v/>
      </c>
      <c r="R27" s="234" t="str">
        <f>IF(COUNTIF(判定!$L$10:$L$20,$D27)&gt;0,$P27,"")</f>
        <v/>
      </c>
      <c r="S27" s="234" t="str">
        <f>IF(COUNTIF(判定!$L$21,$D27)&gt;0,$P27,"")</f>
        <v/>
      </c>
      <c r="T27" s="341"/>
      <c r="V27" s="226"/>
      <c r="W27" s="221" t="str">
        <f>IF(OR($C27=判定!$K$2,$C27=判定!$K$3,$C27=判定!$K$4,$C27=判定!$K$5),"",IF(COUNTIF($C$15:$C27,$C27)=1,ROW(),""))</f>
        <v/>
      </c>
      <c r="X27" s="221">
        <f t="shared" si="1"/>
        <v>0</v>
      </c>
      <c r="Y27" s="221">
        <f>IF(COUNTIF($C:$C,$X27)&gt;0,1,0)+IF(OR(COUNTIFS($C:$C,$X27,$D:$D,判定!$L$2)&gt;0,COUNTIFS($C:$C,$X27,$D:$D,判定!$L$3)&gt;0,COUNTIFS($C:$C,$X27,$D:$D,判定!$L$4)&gt;0),1,0)+IF(COUNTIFS($C:$C,$X27,$D:$D,判定!$L$7)&gt;0,1,0)+IF(COUNTIFS($C:$C,$X27,$D:$D,判定!$L$8)&gt;0,1,0)+IF(COUNTIFS($C:$C,$X27,$D:$D,判定!$L$9)&gt;0,1,0)</f>
        <v>0</v>
      </c>
      <c r="Z27" s="221" t="str">
        <f>IF(Y27&gt;0,Y27*100+COUNTIF($Y$15:Y27,Y27),"")</f>
        <v/>
      </c>
      <c r="AA27" s="221" t="e">
        <f t="shared" si="2"/>
        <v>#NUM!</v>
      </c>
      <c r="AB27" s="226"/>
      <c r="AC27" s="226"/>
      <c r="AD27" s="226"/>
      <c r="AE27" s="226"/>
      <c r="AF27" s="226"/>
    </row>
    <row r="28" spans="1:32" x14ac:dyDescent="0.2">
      <c r="A28" s="221" t="str">
        <f>IF($D28="","",COUNTA($D$15:$D28))</f>
        <v/>
      </c>
      <c r="B28" s="235"/>
      <c r="C28" s="235"/>
      <c r="D28" s="235"/>
      <c r="E28" s="337"/>
      <c r="F28" s="337"/>
      <c r="G28" s="337"/>
      <c r="H28" s="338"/>
      <c r="I28" s="339" t="str">
        <f t="shared" si="0"/>
        <v/>
      </c>
      <c r="J28" s="236" t="str">
        <f ca="1">IFERROR(VLOOKUP($G28,INDIRECT("判定!"&amp;ADDRESS(ROW(判定!$N$2)+1,COLUMN(判定!$N$2)+MATCH($D28,判定!$N$2:$W$2,0)-1,4,1)&amp;":"&amp;ADDRESS(ROW(判定!$O$2)+4,COLUMN(判定!$N$2)+MATCH($D28,判定!$N$2:$W$2,0),4,1),1),2,1),"")</f>
        <v/>
      </c>
      <c r="K28" s="340"/>
      <c r="L28" s="341"/>
      <c r="M28" s="330"/>
      <c r="N28" s="330"/>
      <c r="O28" s="331"/>
      <c r="P28" s="237"/>
      <c r="Q28" s="234" t="str">
        <f>IF(COUNTIF(判定!$L$2:$L$9,$D28)&gt;0,$P28,"")</f>
        <v/>
      </c>
      <c r="R28" s="234" t="str">
        <f>IF(COUNTIF(判定!$L$10:$L$20,$D28)&gt;0,$P28,"")</f>
        <v/>
      </c>
      <c r="S28" s="234" t="str">
        <f>IF(COUNTIF(判定!$L$21,$D28)&gt;0,$P28,"")</f>
        <v/>
      </c>
      <c r="T28" s="341"/>
      <c r="V28" s="226"/>
      <c r="W28" s="221" t="str">
        <f>IF(OR($C28=判定!$K$2,$C28=判定!$K$3,$C28=判定!$K$4,$C28=判定!$K$5),"",IF(COUNTIF($C$15:$C28,$C28)=1,ROW(),""))</f>
        <v/>
      </c>
      <c r="X28" s="221">
        <f t="shared" si="1"/>
        <v>0</v>
      </c>
      <c r="Y28" s="221">
        <f>IF(COUNTIF($C:$C,$X28)&gt;0,1,0)+IF(OR(COUNTIFS($C:$C,$X28,$D:$D,判定!$L$2)&gt;0,COUNTIFS($C:$C,$X28,$D:$D,判定!$L$3)&gt;0,COUNTIFS($C:$C,$X28,$D:$D,判定!$L$4)&gt;0),1,0)+IF(COUNTIFS($C:$C,$X28,$D:$D,判定!$L$7)&gt;0,1,0)+IF(COUNTIFS($C:$C,$X28,$D:$D,判定!$L$8)&gt;0,1,0)+IF(COUNTIFS($C:$C,$X28,$D:$D,判定!$L$9)&gt;0,1,0)</f>
        <v>0</v>
      </c>
      <c r="Z28" s="221" t="str">
        <f>IF(Y28&gt;0,Y28*100+COUNTIF($Y$15:Y28,Y28),"")</f>
        <v/>
      </c>
      <c r="AA28" s="221" t="e">
        <f t="shared" si="2"/>
        <v>#NUM!</v>
      </c>
      <c r="AB28" s="226"/>
      <c r="AC28" s="226"/>
      <c r="AD28" s="226"/>
      <c r="AE28" s="226"/>
      <c r="AF28" s="226"/>
    </row>
    <row r="29" spans="1:32" x14ac:dyDescent="0.2">
      <c r="A29" s="221" t="str">
        <f>IF($D29="","",COUNTA($D$15:$D29))</f>
        <v/>
      </c>
      <c r="B29" s="235"/>
      <c r="C29" s="235"/>
      <c r="D29" s="235"/>
      <c r="E29" s="337"/>
      <c r="F29" s="337"/>
      <c r="G29" s="337"/>
      <c r="H29" s="338"/>
      <c r="I29" s="339" t="str">
        <f t="shared" si="0"/>
        <v/>
      </c>
      <c r="J29" s="236" t="str">
        <f ca="1">IFERROR(VLOOKUP($G29,INDIRECT("判定!"&amp;ADDRESS(ROW(判定!$N$2)+1,COLUMN(判定!$N$2)+MATCH($D29,判定!$N$2:$W$2,0)-1,4,1)&amp;":"&amp;ADDRESS(ROW(判定!$O$2)+4,COLUMN(判定!$N$2)+MATCH($D29,判定!$N$2:$W$2,0),4,1),1),2,1),"")</f>
        <v/>
      </c>
      <c r="K29" s="340"/>
      <c r="L29" s="341"/>
      <c r="M29" s="330"/>
      <c r="N29" s="330"/>
      <c r="O29" s="331"/>
      <c r="P29" s="237"/>
      <c r="Q29" s="234" t="str">
        <f>IF(COUNTIF(判定!$L$2:$L$9,$D29)&gt;0,$P29,"")</f>
        <v/>
      </c>
      <c r="R29" s="234" t="str">
        <f>IF(COUNTIF(判定!$L$10:$L$20,$D29)&gt;0,$P29,"")</f>
        <v/>
      </c>
      <c r="S29" s="234" t="str">
        <f>IF(COUNTIF(判定!$L$21,$D29)&gt;0,$P29,"")</f>
        <v/>
      </c>
      <c r="T29" s="341"/>
      <c r="V29" s="226"/>
      <c r="W29" s="221" t="str">
        <f>IF(OR($C29=判定!$K$2,$C29=判定!$K$3,$C29=判定!$K$4,$C29=判定!$K$5),"",IF(COUNTIF($C$15:$C29,$C29)=1,ROW(),""))</f>
        <v/>
      </c>
      <c r="X29" s="221">
        <f t="shared" si="1"/>
        <v>0</v>
      </c>
      <c r="Y29" s="221">
        <f>IF(COUNTIF($C:$C,$X29)&gt;0,1,0)+IF(OR(COUNTIFS($C:$C,$X29,$D:$D,判定!$L$2)&gt;0,COUNTIFS($C:$C,$X29,$D:$D,判定!$L$3)&gt;0,COUNTIFS($C:$C,$X29,$D:$D,判定!$L$4)&gt;0),1,0)+IF(COUNTIFS($C:$C,$X29,$D:$D,判定!$L$7)&gt;0,1,0)+IF(COUNTIFS($C:$C,$X29,$D:$D,判定!$L$8)&gt;0,1,0)+IF(COUNTIFS($C:$C,$X29,$D:$D,判定!$L$9)&gt;0,1,0)</f>
        <v>0</v>
      </c>
      <c r="Z29" s="221" t="str">
        <f>IF(Y29&gt;0,Y29*100+COUNTIF($Y$15:Y29,Y29),"")</f>
        <v/>
      </c>
      <c r="AA29" s="221" t="e">
        <f t="shared" si="2"/>
        <v>#NUM!</v>
      </c>
      <c r="AB29" s="226"/>
      <c r="AC29" s="226"/>
      <c r="AD29" s="226"/>
      <c r="AE29" s="226"/>
      <c r="AF29" s="226"/>
    </row>
    <row r="30" spans="1:32" x14ac:dyDescent="0.2">
      <c r="A30" s="221" t="str">
        <f>IF($D30="","",COUNTA($D$15:$D30))</f>
        <v/>
      </c>
      <c r="B30" s="235"/>
      <c r="C30" s="235"/>
      <c r="D30" s="235"/>
      <c r="E30" s="337"/>
      <c r="F30" s="337"/>
      <c r="G30" s="337"/>
      <c r="H30" s="338"/>
      <c r="I30" s="339" t="str">
        <f t="shared" si="0"/>
        <v/>
      </c>
      <c r="J30" s="236" t="str">
        <f ca="1">IFERROR(VLOOKUP($G30,INDIRECT("判定!"&amp;ADDRESS(ROW(判定!$N$2)+1,COLUMN(判定!$N$2)+MATCH($D30,判定!$N$2:$W$2,0)-1,4,1)&amp;":"&amp;ADDRESS(ROW(判定!$O$2)+4,COLUMN(判定!$N$2)+MATCH($D30,判定!$N$2:$W$2,0),4,1),1),2,1),"")</f>
        <v/>
      </c>
      <c r="K30" s="340"/>
      <c r="L30" s="341"/>
      <c r="M30" s="330"/>
      <c r="N30" s="330"/>
      <c r="O30" s="331"/>
      <c r="P30" s="237"/>
      <c r="Q30" s="234" t="str">
        <f>IF(COUNTIF(判定!$L$2:$L$9,$D30)&gt;0,$P30,"")</f>
        <v/>
      </c>
      <c r="R30" s="234" t="str">
        <f>IF(COUNTIF(判定!$L$10:$L$20,$D30)&gt;0,$P30,"")</f>
        <v/>
      </c>
      <c r="S30" s="234" t="str">
        <f>IF(COUNTIF(判定!$L$21,$D30)&gt;0,$P30,"")</f>
        <v/>
      </c>
      <c r="T30" s="341"/>
      <c r="V30" s="226"/>
      <c r="W30" s="221" t="str">
        <f>IF(OR($C30=判定!$K$2,$C30=判定!$K$3,$C30=判定!$K$4,$C30=判定!$K$5),"",IF(COUNTIF($C$15:$C30,$C30)=1,ROW(),""))</f>
        <v/>
      </c>
      <c r="X30" s="221">
        <f t="shared" si="1"/>
        <v>0</v>
      </c>
      <c r="Y30" s="221">
        <f>IF(COUNTIF($C:$C,$X30)&gt;0,1,0)+IF(OR(COUNTIFS($C:$C,$X30,$D:$D,判定!$L$2)&gt;0,COUNTIFS($C:$C,$X30,$D:$D,判定!$L$3)&gt;0,COUNTIFS($C:$C,$X30,$D:$D,判定!$L$4)&gt;0),1,0)+IF(COUNTIFS($C:$C,$X30,$D:$D,判定!$L$7)&gt;0,1,0)+IF(COUNTIFS($C:$C,$X30,$D:$D,判定!$L$8)&gt;0,1,0)+IF(COUNTIFS($C:$C,$X30,$D:$D,判定!$L$9)&gt;0,1,0)</f>
        <v>0</v>
      </c>
      <c r="Z30" s="221" t="str">
        <f>IF(Y30&gt;0,Y30*100+COUNTIF($Y$15:Y30,Y30),"")</f>
        <v/>
      </c>
      <c r="AA30" s="221" t="e">
        <f t="shared" si="2"/>
        <v>#NUM!</v>
      </c>
      <c r="AB30" s="226"/>
      <c r="AC30" s="226"/>
      <c r="AD30" s="226"/>
      <c r="AE30" s="226"/>
      <c r="AF30" s="226"/>
    </row>
    <row r="31" spans="1:32" x14ac:dyDescent="0.2">
      <c r="A31" s="221" t="str">
        <f>IF($D31="","",COUNTA($D$15:$D31))</f>
        <v/>
      </c>
      <c r="B31" s="235"/>
      <c r="C31" s="235"/>
      <c r="D31" s="235"/>
      <c r="E31" s="337"/>
      <c r="F31" s="337"/>
      <c r="G31" s="337"/>
      <c r="H31" s="338"/>
      <c r="I31" s="339" t="str">
        <f t="shared" si="0"/>
        <v/>
      </c>
      <c r="J31" s="236" t="str">
        <f ca="1">IFERROR(VLOOKUP($G31,INDIRECT("判定!"&amp;ADDRESS(ROW(判定!$N$2)+1,COLUMN(判定!$N$2)+MATCH($D31,判定!$N$2:$W$2,0)-1,4,1)&amp;":"&amp;ADDRESS(ROW(判定!$O$2)+4,COLUMN(判定!$N$2)+MATCH($D31,判定!$N$2:$W$2,0),4,1),1),2,1),"")</f>
        <v/>
      </c>
      <c r="K31" s="340"/>
      <c r="L31" s="341"/>
      <c r="M31" s="330"/>
      <c r="N31" s="330"/>
      <c r="O31" s="331"/>
      <c r="P31" s="237"/>
      <c r="Q31" s="234" t="str">
        <f>IF(COUNTIF(判定!$L$2:$L$9,$D31)&gt;0,$P31,"")</f>
        <v/>
      </c>
      <c r="R31" s="234" t="str">
        <f>IF(COUNTIF(判定!$L$10:$L$20,$D31)&gt;0,$P31,"")</f>
        <v/>
      </c>
      <c r="S31" s="234" t="str">
        <f>IF(COUNTIF(判定!$L$21,$D31)&gt;0,$P31,"")</f>
        <v/>
      </c>
      <c r="T31" s="341"/>
      <c r="V31" s="226"/>
      <c r="W31" s="221" t="str">
        <f>IF(OR($C31=判定!$K$2,$C31=判定!$K$3,$C31=判定!$K$4,$C31=判定!$K$5),"",IF(COUNTIF($C$15:$C31,$C31)=1,ROW(),""))</f>
        <v/>
      </c>
      <c r="X31" s="221">
        <f t="shared" si="1"/>
        <v>0</v>
      </c>
      <c r="Y31" s="221">
        <f>IF(COUNTIF($C:$C,$X31)&gt;0,1,0)+IF(OR(COUNTIFS($C:$C,$X31,$D:$D,判定!$L$2)&gt;0,COUNTIFS($C:$C,$X31,$D:$D,判定!$L$3)&gt;0,COUNTIFS($C:$C,$X31,$D:$D,判定!$L$4)&gt;0),1,0)+IF(COUNTIFS($C:$C,$X31,$D:$D,判定!$L$7)&gt;0,1,0)+IF(COUNTIFS($C:$C,$X31,$D:$D,判定!$L$8)&gt;0,1,0)+IF(COUNTIFS($C:$C,$X31,$D:$D,判定!$L$9)&gt;0,1,0)</f>
        <v>0</v>
      </c>
      <c r="Z31" s="221" t="str">
        <f>IF(Y31&gt;0,Y31*100+COUNTIF($Y$15:Y31,Y31),"")</f>
        <v/>
      </c>
      <c r="AA31" s="221" t="e">
        <f t="shared" si="2"/>
        <v>#NUM!</v>
      </c>
      <c r="AB31" s="226"/>
      <c r="AC31" s="226"/>
      <c r="AD31" s="226"/>
      <c r="AE31" s="226"/>
      <c r="AF31" s="226"/>
    </row>
    <row r="32" spans="1:32" x14ac:dyDescent="0.2">
      <c r="A32" s="221" t="str">
        <f>IF($D32="","",COUNTA($D$15:$D32))</f>
        <v/>
      </c>
      <c r="B32" s="235"/>
      <c r="C32" s="235"/>
      <c r="D32" s="235"/>
      <c r="E32" s="337"/>
      <c r="F32" s="337"/>
      <c r="G32" s="337"/>
      <c r="H32" s="338"/>
      <c r="I32" s="339" t="str">
        <f t="shared" si="0"/>
        <v/>
      </c>
      <c r="J32" s="236" t="str">
        <f ca="1">IFERROR(VLOOKUP($G32,INDIRECT("判定!"&amp;ADDRESS(ROW(判定!$N$2)+1,COLUMN(判定!$N$2)+MATCH($D32,判定!$N$2:$W$2,0)-1,4,1)&amp;":"&amp;ADDRESS(ROW(判定!$O$2)+4,COLUMN(判定!$N$2)+MATCH($D32,判定!$N$2:$W$2,0),4,1),1),2,1),"")</f>
        <v/>
      </c>
      <c r="K32" s="340"/>
      <c r="L32" s="341"/>
      <c r="M32" s="330"/>
      <c r="N32" s="330"/>
      <c r="O32" s="331"/>
      <c r="P32" s="237"/>
      <c r="Q32" s="234" t="str">
        <f>IF(COUNTIF(判定!$L$2:$L$9,$D32)&gt;0,$P32,"")</f>
        <v/>
      </c>
      <c r="R32" s="234" t="str">
        <f>IF(COUNTIF(判定!$L$10:$L$20,$D32)&gt;0,$P32,"")</f>
        <v/>
      </c>
      <c r="S32" s="234" t="str">
        <f>IF(COUNTIF(判定!$L$21,$D32)&gt;0,$P32,"")</f>
        <v/>
      </c>
      <c r="T32" s="341"/>
      <c r="V32" s="226"/>
      <c r="W32" s="221" t="str">
        <f>IF(OR($C32=判定!$K$2,$C32=判定!$K$3,$C32=判定!$K$4,$C32=判定!$K$5),"",IF(COUNTIF($C$15:$C32,$C32)=1,ROW(),""))</f>
        <v/>
      </c>
      <c r="X32" s="221">
        <f t="shared" si="1"/>
        <v>0</v>
      </c>
      <c r="Y32" s="221">
        <f>IF(COUNTIF($C:$C,$X32)&gt;0,1,0)+IF(OR(COUNTIFS($C:$C,$X32,$D:$D,判定!$L$2)&gt;0,COUNTIFS($C:$C,$X32,$D:$D,判定!$L$3)&gt;0,COUNTIFS($C:$C,$X32,$D:$D,判定!$L$4)&gt;0),1,0)+IF(COUNTIFS($C:$C,$X32,$D:$D,判定!$L$7)&gt;0,1,0)+IF(COUNTIFS($C:$C,$X32,$D:$D,判定!$L$8)&gt;0,1,0)+IF(COUNTIFS($C:$C,$X32,$D:$D,判定!$L$9)&gt;0,1,0)</f>
        <v>0</v>
      </c>
      <c r="Z32" s="221" t="str">
        <f>IF(Y32&gt;0,Y32*100+COUNTIF($Y$15:Y32,Y32),"")</f>
        <v/>
      </c>
      <c r="AA32" s="221" t="e">
        <f t="shared" si="2"/>
        <v>#NUM!</v>
      </c>
      <c r="AB32" s="226"/>
      <c r="AC32" s="226"/>
      <c r="AD32" s="226"/>
      <c r="AE32" s="226"/>
      <c r="AF32" s="226"/>
    </row>
    <row r="33" spans="1:32" x14ac:dyDescent="0.2">
      <c r="A33" s="221" t="str">
        <f>IF($D33="","",COUNTA($D$15:$D33))</f>
        <v/>
      </c>
      <c r="B33" s="235"/>
      <c r="C33" s="235"/>
      <c r="D33" s="235"/>
      <c r="E33" s="337"/>
      <c r="F33" s="337"/>
      <c r="G33" s="337"/>
      <c r="H33" s="338"/>
      <c r="I33" s="339" t="str">
        <f t="shared" si="0"/>
        <v/>
      </c>
      <c r="J33" s="236" t="str">
        <f ca="1">IFERROR(VLOOKUP($G33,INDIRECT("判定!"&amp;ADDRESS(ROW(判定!$N$2)+1,COLUMN(判定!$N$2)+MATCH($D33,判定!$N$2:$W$2,0)-1,4,1)&amp;":"&amp;ADDRESS(ROW(判定!$O$2)+4,COLUMN(判定!$N$2)+MATCH($D33,判定!$N$2:$W$2,0),4,1),1),2,1),"")</f>
        <v/>
      </c>
      <c r="K33" s="340"/>
      <c r="L33" s="341"/>
      <c r="M33" s="330"/>
      <c r="N33" s="330"/>
      <c r="O33" s="331"/>
      <c r="P33" s="237"/>
      <c r="Q33" s="234" t="str">
        <f>IF(COUNTIF(判定!$L$2:$L$9,$D33)&gt;0,$P33,"")</f>
        <v/>
      </c>
      <c r="R33" s="234" t="str">
        <f>IF(COUNTIF(判定!$L$10:$L$20,$D33)&gt;0,$P33,"")</f>
        <v/>
      </c>
      <c r="S33" s="234" t="str">
        <f>IF(COUNTIF(判定!$L$21,$D33)&gt;0,$P33,"")</f>
        <v/>
      </c>
      <c r="T33" s="341"/>
      <c r="V33" s="226"/>
      <c r="W33" s="221" t="str">
        <f>IF(OR($C33=判定!$K$2,$C33=判定!$K$3,$C33=判定!$K$4,$C33=判定!$K$5),"",IF(COUNTIF($C$15:$C33,$C33)=1,ROW(),""))</f>
        <v/>
      </c>
      <c r="X33" s="221">
        <f t="shared" si="1"/>
        <v>0</v>
      </c>
      <c r="Y33" s="221">
        <f>IF(COUNTIF($C:$C,$X33)&gt;0,1,0)+IF(OR(COUNTIFS($C:$C,$X33,$D:$D,判定!$L$2)&gt;0,COUNTIFS($C:$C,$X33,$D:$D,判定!$L$3)&gt;0,COUNTIFS($C:$C,$X33,$D:$D,判定!$L$4)&gt;0),1,0)+IF(COUNTIFS($C:$C,$X33,$D:$D,判定!$L$7)&gt;0,1,0)+IF(COUNTIFS($C:$C,$X33,$D:$D,判定!$L$8)&gt;0,1,0)+IF(COUNTIFS($C:$C,$X33,$D:$D,判定!$L$9)&gt;0,1,0)</f>
        <v>0</v>
      </c>
      <c r="Z33" s="221" t="str">
        <f>IF(Y33&gt;0,Y33*100+COUNTIF($Y$15:Y33,Y33),"")</f>
        <v/>
      </c>
      <c r="AA33" s="221" t="e">
        <f t="shared" si="2"/>
        <v>#NUM!</v>
      </c>
      <c r="AB33" s="226"/>
      <c r="AC33" s="226"/>
      <c r="AD33" s="226"/>
      <c r="AE33" s="226"/>
      <c r="AF33" s="226"/>
    </row>
    <row r="34" spans="1:32" x14ac:dyDescent="0.2">
      <c r="A34" s="221" t="str">
        <f>IF($D34="","",COUNTA($D$15:$D34))</f>
        <v/>
      </c>
      <c r="B34" s="235"/>
      <c r="C34" s="235"/>
      <c r="D34" s="235"/>
      <c r="E34" s="337"/>
      <c r="F34" s="337"/>
      <c r="G34" s="337"/>
      <c r="H34" s="338"/>
      <c r="I34" s="339" t="str">
        <f t="shared" si="0"/>
        <v/>
      </c>
      <c r="J34" s="236" t="str">
        <f ca="1">IFERROR(VLOOKUP($G34,INDIRECT("判定!"&amp;ADDRESS(ROW(判定!$N$2)+1,COLUMN(判定!$N$2)+MATCH($D34,判定!$N$2:$W$2,0)-1,4,1)&amp;":"&amp;ADDRESS(ROW(判定!$O$2)+4,COLUMN(判定!$N$2)+MATCH($D34,判定!$N$2:$W$2,0),4,1),1),2,1),"")</f>
        <v/>
      </c>
      <c r="K34" s="340"/>
      <c r="L34" s="341"/>
      <c r="M34" s="330"/>
      <c r="N34" s="330"/>
      <c r="O34" s="331"/>
      <c r="P34" s="237"/>
      <c r="Q34" s="234" t="str">
        <f>IF(COUNTIF(判定!$L$2:$L$9,$D34)&gt;0,$P34,"")</f>
        <v/>
      </c>
      <c r="R34" s="234" t="str">
        <f>IF(COUNTIF(判定!$L$10:$L$20,$D34)&gt;0,$P34,"")</f>
        <v/>
      </c>
      <c r="S34" s="234" t="str">
        <f>IF(COUNTIF(判定!$L$21,$D34)&gt;0,$P34,"")</f>
        <v/>
      </c>
      <c r="T34" s="341"/>
      <c r="V34" s="226"/>
      <c r="W34" s="221" t="str">
        <f>IF(OR($C34=判定!$K$2,$C34=判定!$K$3,$C34=判定!$K$4,$C34=判定!$K$5),"",IF(COUNTIF($C$15:$C34,$C34)=1,ROW(),""))</f>
        <v/>
      </c>
      <c r="X34" s="221">
        <f t="shared" si="1"/>
        <v>0</v>
      </c>
      <c r="Y34" s="221">
        <f>IF(COUNTIF($C:$C,$X34)&gt;0,1,0)+IF(OR(COUNTIFS($C:$C,$X34,$D:$D,判定!$L$2)&gt;0,COUNTIFS($C:$C,$X34,$D:$D,判定!$L$3)&gt;0,COUNTIFS($C:$C,$X34,$D:$D,判定!$L$4)&gt;0),1,0)+IF(COUNTIFS($C:$C,$X34,$D:$D,判定!$L$7)&gt;0,1,0)+IF(COUNTIFS($C:$C,$X34,$D:$D,判定!$L$8)&gt;0,1,0)+IF(COUNTIFS($C:$C,$X34,$D:$D,判定!$L$9)&gt;0,1,0)</f>
        <v>0</v>
      </c>
      <c r="Z34" s="221" t="str">
        <f>IF(Y34&gt;0,Y34*100+COUNTIF($Y$15:Y34,Y34),"")</f>
        <v/>
      </c>
      <c r="AA34" s="221" t="e">
        <f t="shared" si="2"/>
        <v>#NUM!</v>
      </c>
      <c r="AB34" s="226"/>
      <c r="AC34" s="226"/>
      <c r="AD34" s="226"/>
      <c r="AE34" s="226"/>
      <c r="AF34" s="226"/>
    </row>
    <row r="35" spans="1:32" x14ac:dyDescent="0.2">
      <c r="A35" s="221" t="str">
        <f>IF($D35="","",COUNTA($D$15:$D35))</f>
        <v/>
      </c>
      <c r="B35" s="235"/>
      <c r="C35" s="235"/>
      <c r="D35" s="235"/>
      <c r="E35" s="337"/>
      <c r="F35" s="337"/>
      <c r="G35" s="337"/>
      <c r="H35" s="338"/>
      <c r="I35" s="339" t="str">
        <f t="shared" si="0"/>
        <v/>
      </c>
      <c r="J35" s="236" t="str">
        <f ca="1">IFERROR(VLOOKUP($G35,INDIRECT("判定!"&amp;ADDRESS(ROW(判定!$N$2)+1,COLUMN(判定!$N$2)+MATCH($D35,判定!$N$2:$W$2,0)-1,4,1)&amp;":"&amp;ADDRESS(ROW(判定!$O$2)+4,COLUMN(判定!$N$2)+MATCH($D35,判定!$N$2:$W$2,0),4,1),1),2,1),"")</f>
        <v/>
      </c>
      <c r="K35" s="340"/>
      <c r="L35" s="341"/>
      <c r="M35" s="330"/>
      <c r="N35" s="330"/>
      <c r="O35" s="331"/>
      <c r="P35" s="237"/>
      <c r="Q35" s="234" t="str">
        <f>IF(COUNTIF(判定!$L$2:$L$9,$D35)&gt;0,$P35,"")</f>
        <v/>
      </c>
      <c r="R35" s="234" t="str">
        <f>IF(COUNTIF(判定!$L$10:$L$20,$D35)&gt;0,$P35,"")</f>
        <v/>
      </c>
      <c r="S35" s="234" t="str">
        <f>IF(COUNTIF(判定!$L$21,$D35)&gt;0,$P35,"")</f>
        <v/>
      </c>
      <c r="T35" s="341"/>
      <c r="V35" s="226"/>
      <c r="W35" s="221" t="str">
        <f>IF(OR($C35=判定!$K$2,$C35=判定!$K$3,$C35=判定!$K$4,$C35=判定!$K$5),"",IF(COUNTIF($C$15:$C35,$C35)=1,ROW(),""))</f>
        <v/>
      </c>
      <c r="X35" s="221">
        <f t="shared" si="1"/>
        <v>0</v>
      </c>
      <c r="Y35" s="221">
        <f>IF(COUNTIF($C:$C,$X35)&gt;0,1,0)+IF(OR(COUNTIFS($C:$C,$X35,$D:$D,判定!$L$2)&gt;0,COUNTIFS($C:$C,$X35,$D:$D,判定!$L$3)&gt;0,COUNTIFS($C:$C,$X35,$D:$D,判定!$L$4)&gt;0),1,0)+IF(COUNTIFS($C:$C,$X35,$D:$D,判定!$L$7)&gt;0,1,0)+IF(COUNTIFS($C:$C,$X35,$D:$D,判定!$L$8)&gt;0,1,0)+IF(COUNTIFS($C:$C,$X35,$D:$D,判定!$L$9)&gt;0,1,0)</f>
        <v>0</v>
      </c>
      <c r="Z35" s="221" t="str">
        <f>IF(Y35&gt;0,Y35*100+COUNTIF($Y$15:Y35,Y35),"")</f>
        <v/>
      </c>
      <c r="AA35" s="221" t="e">
        <f t="shared" si="2"/>
        <v>#NUM!</v>
      </c>
      <c r="AB35" s="226"/>
      <c r="AC35" s="226"/>
      <c r="AD35" s="226"/>
      <c r="AE35" s="226"/>
      <c r="AF35" s="226"/>
    </row>
    <row r="36" spans="1:32" x14ac:dyDescent="0.2">
      <c r="A36" s="221" t="str">
        <f>IF($D36="","",COUNTA($D$15:$D36))</f>
        <v/>
      </c>
      <c r="B36" s="235"/>
      <c r="C36" s="235"/>
      <c r="D36" s="235"/>
      <c r="E36" s="337"/>
      <c r="F36" s="337"/>
      <c r="G36" s="337"/>
      <c r="H36" s="338"/>
      <c r="I36" s="339" t="str">
        <f t="shared" si="0"/>
        <v/>
      </c>
      <c r="J36" s="236" t="str">
        <f ca="1">IFERROR(VLOOKUP($G36,INDIRECT("判定!"&amp;ADDRESS(ROW(判定!$N$2)+1,COLUMN(判定!$N$2)+MATCH($D36,判定!$N$2:$W$2,0)-1,4,1)&amp;":"&amp;ADDRESS(ROW(判定!$O$2)+4,COLUMN(判定!$N$2)+MATCH($D36,判定!$N$2:$W$2,0),4,1),1),2,1),"")</f>
        <v/>
      </c>
      <c r="K36" s="340"/>
      <c r="L36" s="341"/>
      <c r="M36" s="330"/>
      <c r="N36" s="330"/>
      <c r="O36" s="331"/>
      <c r="P36" s="237"/>
      <c r="Q36" s="234" t="str">
        <f>IF(COUNTIF(判定!$L$2:$L$9,$D36)&gt;0,$P36,"")</f>
        <v/>
      </c>
      <c r="R36" s="234" t="str">
        <f>IF(COUNTIF(判定!$L$10:$L$20,$D36)&gt;0,$P36,"")</f>
        <v/>
      </c>
      <c r="S36" s="234" t="str">
        <f>IF(COUNTIF(判定!$L$21,$D36)&gt;0,$P36,"")</f>
        <v/>
      </c>
      <c r="T36" s="341"/>
      <c r="V36" s="226"/>
      <c r="W36" s="221" t="str">
        <f>IF(OR($C36=判定!$K$2,$C36=判定!$K$3,$C36=判定!$K$4,$C36=判定!$K$5),"",IF(COUNTIF($C$15:$C36,$C36)=1,ROW(),""))</f>
        <v/>
      </c>
      <c r="X36" s="221">
        <f t="shared" si="1"/>
        <v>0</v>
      </c>
      <c r="Y36" s="221">
        <f>IF(COUNTIF($C:$C,$X36)&gt;0,1,0)+IF(OR(COUNTIFS($C:$C,$X36,$D:$D,判定!$L$2)&gt;0,COUNTIFS($C:$C,$X36,$D:$D,判定!$L$3)&gt;0,COUNTIFS($C:$C,$X36,$D:$D,判定!$L$4)&gt;0),1,0)+IF(COUNTIFS($C:$C,$X36,$D:$D,判定!$L$7)&gt;0,1,0)+IF(COUNTIFS($C:$C,$X36,$D:$D,判定!$L$8)&gt;0,1,0)+IF(COUNTIFS($C:$C,$X36,$D:$D,判定!$L$9)&gt;0,1,0)</f>
        <v>0</v>
      </c>
      <c r="Z36" s="221" t="str">
        <f>IF(Y36&gt;0,Y36*100+COUNTIF($Y$15:Y36,Y36),"")</f>
        <v/>
      </c>
      <c r="AA36" s="221" t="e">
        <f t="shared" si="2"/>
        <v>#NUM!</v>
      </c>
      <c r="AB36" s="226"/>
      <c r="AC36" s="226"/>
      <c r="AD36" s="226"/>
      <c r="AE36" s="226"/>
      <c r="AF36" s="226"/>
    </row>
    <row r="37" spans="1:32" x14ac:dyDescent="0.2">
      <c r="A37" s="221" t="str">
        <f>IF($D37="","",COUNTA($D$15:$D37))</f>
        <v/>
      </c>
      <c r="B37" s="235"/>
      <c r="C37" s="235"/>
      <c r="D37" s="235"/>
      <c r="E37" s="337"/>
      <c r="F37" s="337"/>
      <c r="G37" s="337"/>
      <c r="H37" s="338"/>
      <c r="I37" s="339" t="str">
        <f t="shared" si="0"/>
        <v/>
      </c>
      <c r="J37" s="236" t="str">
        <f ca="1">IFERROR(VLOOKUP($G37,INDIRECT("判定!"&amp;ADDRESS(ROW(判定!$N$2)+1,COLUMN(判定!$N$2)+MATCH($D37,判定!$N$2:$W$2,0)-1,4,1)&amp;":"&amp;ADDRESS(ROW(判定!$O$2)+4,COLUMN(判定!$N$2)+MATCH($D37,判定!$N$2:$W$2,0),4,1),1),2,1),"")</f>
        <v/>
      </c>
      <c r="K37" s="340"/>
      <c r="L37" s="341"/>
      <c r="M37" s="330"/>
      <c r="N37" s="330"/>
      <c r="O37" s="331"/>
      <c r="P37" s="237"/>
      <c r="Q37" s="234" t="str">
        <f>IF(COUNTIF(判定!$L$2:$L$9,$D37)&gt;0,$P37,"")</f>
        <v/>
      </c>
      <c r="R37" s="234" t="str">
        <f>IF(COUNTIF(判定!$L$10:$L$20,$D37)&gt;0,$P37,"")</f>
        <v/>
      </c>
      <c r="S37" s="234" t="str">
        <f>IF(COUNTIF(判定!$L$21,$D37)&gt;0,$P37,"")</f>
        <v/>
      </c>
      <c r="T37" s="344"/>
      <c r="V37" s="226"/>
      <c r="W37" s="221" t="str">
        <f>IF(OR($C37=判定!$K$2,$C37=判定!$K$3,$C37=判定!$K$4,$C37=判定!$K$5),"",IF(COUNTIF($C$15:$C37,$C37)=1,ROW(),""))</f>
        <v/>
      </c>
      <c r="X37" s="221">
        <f t="shared" si="1"/>
        <v>0</v>
      </c>
      <c r="Y37" s="221">
        <f>IF(COUNTIF($C:$C,$X37)&gt;0,1,0)+IF(OR(COUNTIFS($C:$C,$X37,$D:$D,判定!$L$2)&gt;0,COUNTIFS($C:$C,$X37,$D:$D,判定!$L$3)&gt;0,COUNTIFS($C:$C,$X37,$D:$D,判定!$L$4)&gt;0),1,0)+IF(COUNTIFS($C:$C,$X37,$D:$D,判定!$L$7)&gt;0,1,0)+IF(COUNTIFS($C:$C,$X37,$D:$D,判定!$L$8)&gt;0,1,0)+IF(COUNTIFS($C:$C,$X37,$D:$D,判定!$L$9)&gt;0,1,0)</f>
        <v>0</v>
      </c>
      <c r="Z37" s="221" t="str">
        <f>IF(Y37&gt;0,Y37*100+COUNTIF($Y$15:Y37,Y37),"")</f>
        <v/>
      </c>
      <c r="AA37" s="221" t="e">
        <f t="shared" si="2"/>
        <v>#NUM!</v>
      </c>
      <c r="AB37" s="226"/>
      <c r="AC37" s="226"/>
      <c r="AD37" s="226"/>
      <c r="AE37" s="226"/>
      <c r="AF37" s="226"/>
    </row>
    <row r="38" spans="1:32" x14ac:dyDescent="0.2">
      <c r="A38" s="221" t="str">
        <f>IF($D38="","",COUNTA($D$15:$D38))</f>
        <v/>
      </c>
      <c r="B38" s="235"/>
      <c r="C38" s="235"/>
      <c r="D38" s="235"/>
      <c r="E38" s="337"/>
      <c r="F38" s="337"/>
      <c r="G38" s="337"/>
      <c r="H38" s="338"/>
      <c r="I38" s="339" t="str">
        <f t="shared" si="0"/>
        <v/>
      </c>
      <c r="J38" s="236" t="str">
        <f ca="1">IFERROR(VLOOKUP($G38,INDIRECT("判定!"&amp;ADDRESS(ROW(判定!$N$2)+1,COLUMN(判定!$N$2)+MATCH($D38,判定!$N$2:$W$2,0)-1,4,1)&amp;":"&amp;ADDRESS(ROW(判定!$O$2)+4,COLUMN(判定!$N$2)+MATCH($D38,判定!$N$2:$W$2,0),4,1),1),2,1),"")</f>
        <v/>
      </c>
      <c r="K38" s="340"/>
      <c r="L38" s="341"/>
      <c r="M38" s="330"/>
      <c r="N38" s="330"/>
      <c r="O38" s="331"/>
      <c r="P38" s="237"/>
      <c r="Q38" s="234" t="str">
        <f>IF(COUNTIF(判定!$L$2:$L$9,$D38)&gt;0,$P38,"")</f>
        <v/>
      </c>
      <c r="R38" s="234" t="str">
        <f>IF(COUNTIF(判定!$L$10:$L$20,$D38)&gt;0,$P38,"")</f>
        <v/>
      </c>
      <c r="S38" s="234" t="str">
        <f>IF(COUNTIF(判定!$L$21,$D38)&gt;0,$P38,"")</f>
        <v/>
      </c>
      <c r="T38" s="344"/>
      <c r="V38" s="226"/>
      <c r="W38" s="221" t="str">
        <f>IF(OR($C38=判定!$K$2,$C38=判定!$K$3,$C38=判定!$K$4,$C38=判定!$K$5),"",IF(COUNTIF($C$15:$C38,$C38)=1,ROW(),""))</f>
        <v/>
      </c>
      <c r="X38" s="221">
        <f t="shared" si="1"/>
        <v>0</v>
      </c>
      <c r="Y38" s="221">
        <f>IF(COUNTIF($C:$C,$X38)&gt;0,1,0)+IF(OR(COUNTIFS($C:$C,$X38,$D:$D,判定!$L$2)&gt;0,COUNTIFS($C:$C,$X38,$D:$D,判定!$L$3)&gt;0,COUNTIFS($C:$C,$X38,$D:$D,判定!$L$4)&gt;0),1,0)+IF(COUNTIFS($C:$C,$X38,$D:$D,判定!$L$7)&gt;0,1,0)+IF(COUNTIFS($C:$C,$X38,$D:$D,判定!$L$8)&gt;0,1,0)+IF(COUNTIFS($C:$C,$X38,$D:$D,判定!$L$9)&gt;0,1,0)</f>
        <v>0</v>
      </c>
      <c r="Z38" s="221" t="str">
        <f>IF(Y38&gt;0,Y38*100+COUNTIF($Y$15:Y38,Y38),"")</f>
        <v/>
      </c>
      <c r="AA38" s="221" t="e">
        <f t="shared" si="2"/>
        <v>#NUM!</v>
      </c>
      <c r="AB38" s="226"/>
      <c r="AC38" s="226"/>
      <c r="AD38" s="226"/>
      <c r="AE38" s="226"/>
      <c r="AF38" s="226"/>
    </row>
    <row r="39" spans="1:32" x14ac:dyDescent="0.2">
      <c r="A39" s="221" t="str">
        <f>IF($D39="","",COUNTA($D$15:$D39))</f>
        <v/>
      </c>
      <c r="B39" s="235"/>
      <c r="C39" s="235"/>
      <c r="D39" s="235"/>
      <c r="E39" s="337"/>
      <c r="F39" s="337"/>
      <c r="G39" s="337"/>
      <c r="H39" s="338"/>
      <c r="I39" s="339" t="str">
        <f t="shared" si="0"/>
        <v/>
      </c>
      <c r="J39" s="236" t="str">
        <f ca="1">IFERROR(VLOOKUP($G39,INDIRECT("判定!"&amp;ADDRESS(ROW(判定!$N$2)+1,COLUMN(判定!$N$2)+MATCH($D39,判定!$N$2:$W$2,0)-1,4,1)&amp;":"&amp;ADDRESS(ROW(判定!$O$2)+4,COLUMN(判定!$N$2)+MATCH($D39,判定!$N$2:$W$2,0),4,1),1),2,1),"")</f>
        <v/>
      </c>
      <c r="K39" s="340"/>
      <c r="L39" s="341"/>
      <c r="M39" s="330"/>
      <c r="N39" s="330"/>
      <c r="O39" s="331"/>
      <c r="P39" s="237"/>
      <c r="Q39" s="234" t="str">
        <f>IF(COUNTIF(判定!$L$2:$L$9,$D39)&gt;0,$P39,"")</f>
        <v/>
      </c>
      <c r="R39" s="234" t="str">
        <f>IF(COUNTIF(判定!$L$10:$L$20,$D39)&gt;0,$P39,"")</f>
        <v/>
      </c>
      <c r="S39" s="234" t="str">
        <f>IF(COUNTIF(判定!$L$21,$D39)&gt;0,$P39,"")</f>
        <v/>
      </c>
      <c r="T39" s="344"/>
      <c r="V39" s="226"/>
      <c r="W39" s="221" t="str">
        <f>IF(OR($C39=判定!$K$2,$C39=判定!$K$3,$C39=判定!$K$4,$C39=判定!$K$5),"",IF(COUNTIF($C$15:$C39,$C39)=1,ROW(),""))</f>
        <v/>
      </c>
      <c r="X39" s="221">
        <f t="shared" si="1"/>
        <v>0</v>
      </c>
      <c r="Y39" s="221">
        <f>IF(COUNTIF($C:$C,$X39)&gt;0,1,0)+IF(OR(COUNTIFS($C:$C,$X39,$D:$D,判定!$L$2)&gt;0,COUNTIFS($C:$C,$X39,$D:$D,判定!$L$3)&gt;0,COUNTIFS($C:$C,$X39,$D:$D,判定!$L$4)&gt;0),1,0)+IF(COUNTIFS($C:$C,$X39,$D:$D,判定!$L$7)&gt;0,1,0)+IF(COUNTIFS($C:$C,$X39,$D:$D,判定!$L$8)&gt;0,1,0)+IF(COUNTIFS($C:$C,$X39,$D:$D,判定!$L$9)&gt;0,1,0)</f>
        <v>0</v>
      </c>
      <c r="Z39" s="221" t="str">
        <f>IF(Y39&gt;0,Y39*100+COUNTIF($Y$15:Y39,Y39),"")</f>
        <v/>
      </c>
      <c r="AA39" s="221" t="e">
        <f t="shared" si="2"/>
        <v>#NUM!</v>
      </c>
      <c r="AB39" s="226"/>
      <c r="AC39" s="226"/>
      <c r="AD39" s="226"/>
      <c r="AE39" s="226"/>
      <c r="AF39" s="226"/>
    </row>
    <row r="40" spans="1:32" x14ac:dyDescent="0.2">
      <c r="A40" s="221" t="str">
        <f>IF($D40="","",COUNTA($D$15:$D40))</f>
        <v/>
      </c>
      <c r="B40" s="235"/>
      <c r="C40" s="235"/>
      <c r="D40" s="235"/>
      <c r="E40" s="337"/>
      <c r="F40" s="337"/>
      <c r="G40" s="337"/>
      <c r="H40" s="338"/>
      <c r="I40" s="339" t="str">
        <f t="shared" si="0"/>
        <v/>
      </c>
      <c r="J40" s="236" t="str">
        <f ca="1">IFERROR(VLOOKUP($G40,INDIRECT("判定!"&amp;ADDRESS(ROW(判定!$N$2)+1,COLUMN(判定!$N$2)+MATCH($D40,判定!$N$2:$W$2,0)-1,4,1)&amp;":"&amp;ADDRESS(ROW(判定!$O$2)+4,COLUMN(判定!$N$2)+MATCH($D40,判定!$N$2:$W$2,0),4,1),1),2,1),"")</f>
        <v/>
      </c>
      <c r="K40" s="340"/>
      <c r="L40" s="341"/>
      <c r="M40" s="330"/>
      <c r="N40" s="330"/>
      <c r="O40" s="331"/>
      <c r="P40" s="237"/>
      <c r="Q40" s="234" t="str">
        <f>IF(COUNTIF(判定!$L$2:$L$9,$D40)&gt;0,$P40,"")</f>
        <v/>
      </c>
      <c r="R40" s="234" t="str">
        <f>IF(COUNTIF(判定!$L$10:$L$20,$D40)&gt;0,$P40,"")</f>
        <v/>
      </c>
      <c r="S40" s="234" t="str">
        <f>IF(COUNTIF(判定!$L$21,$D40)&gt;0,$P40,"")</f>
        <v/>
      </c>
      <c r="T40" s="344"/>
      <c r="V40" s="226"/>
      <c r="W40" s="221" t="str">
        <f>IF(OR($C40=判定!$K$2,$C40=判定!$K$3,$C40=判定!$K$4,$C40=判定!$K$5),"",IF(COUNTIF($C$15:$C40,$C40)=1,ROW(),""))</f>
        <v/>
      </c>
      <c r="X40" s="221">
        <f t="shared" si="1"/>
        <v>0</v>
      </c>
      <c r="Y40" s="221">
        <f>IF(COUNTIF($C:$C,$X40)&gt;0,1,0)+IF(OR(COUNTIFS($C:$C,$X40,$D:$D,判定!$L$2)&gt;0,COUNTIFS($C:$C,$X40,$D:$D,判定!$L$3)&gt;0,COUNTIFS($C:$C,$X40,$D:$D,判定!$L$4)&gt;0),1,0)+IF(COUNTIFS($C:$C,$X40,$D:$D,判定!$L$7)&gt;0,1,0)+IF(COUNTIFS($C:$C,$X40,$D:$D,判定!$L$8)&gt;0,1,0)+IF(COUNTIFS($C:$C,$X40,$D:$D,判定!$L$9)&gt;0,1,0)</f>
        <v>0</v>
      </c>
      <c r="Z40" s="221" t="str">
        <f>IF(Y40&gt;0,Y40*100+COUNTIF($Y$15:Y40,Y40),"")</f>
        <v/>
      </c>
      <c r="AA40" s="221" t="e">
        <f t="shared" si="2"/>
        <v>#NUM!</v>
      </c>
      <c r="AB40" s="226"/>
      <c r="AC40" s="226"/>
      <c r="AD40" s="226"/>
      <c r="AE40" s="226"/>
      <c r="AF40" s="226"/>
    </row>
    <row r="41" spans="1:32" x14ac:dyDescent="0.2">
      <c r="A41" s="221" t="str">
        <f>IF($D41="","",COUNTA($D$15:$D41))</f>
        <v/>
      </c>
      <c r="B41" s="235"/>
      <c r="C41" s="235"/>
      <c r="D41" s="235"/>
      <c r="E41" s="337"/>
      <c r="F41" s="337"/>
      <c r="G41" s="337"/>
      <c r="H41" s="338"/>
      <c r="I41" s="339" t="str">
        <f t="shared" si="0"/>
        <v/>
      </c>
      <c r="J41" s="236" t="str">
        <f ca="1">IFERROR(VLOOKUP($G41,INDIRECT("判定!"&amp;ADDRESS(ROW(判定!$N$2)+1,COLUMN(判定!$N$2)+MATCH($D41,判定!$N$2:$W$2,0)-1,4,1)&amp;":"&amp;ADDRESS(ROW(判定!$O$2)+4,COLUMN(判定!$N$2)+MATCH($D41,判定!$N$2:$W$2,0),4,1),1),2,1),"")</f>
        <v/>
      </c>
      <c r="K41" s="340"/>
      <c r="L41" s="341"/>
      <c r="M41" s="330"/>
      <c r="N41" s="330"/>
      <c r="O41" s="331"/>
      <c r="P41" s="237"/>
      <c r="Q41" s="234" t="str">
        <f>IF(COUNTIF(判定!$L$2:$L$9,$D41)&gt;0,$P41,"")</f>
        <v/>
      </c>
      <c r="R41" s="234" t="str">
        <f>IF(COUNTIF(判定!$L$10:$L$20,$D41)&gt;0,$P41,"")</f>
        <v/>
      </c>
      <c r="S41" s="234" t="str">
        <f>IF(COUNTIF(判定!$L$21,$D41)&gt;0,$P41,"")</f>
        <v/>
      </c>
      <c r="T41" s="344"/>
      <c r="V41" s="226"/>
      <c r="W41" s="221" t="str">
        <f>IF(OR($C41=判定!$K$2,$C41=判定!$K$3,$C41=判定!$K$4,$C41=判定!$K$5),"",IF(COUNTIF($C$15:$C41,$C41)=1,ROW(),""))</f>
        <v/>
      </c>
      <c r="X41" s="221">
        <f t="shared" si="1"/>
        <v>0</v>
      </c>
      <c r="Y41" s="221">
        <f>IF(COUNTIF($C:$C,$X41)&gt;0,1,0)+IF(OR(COUNTIFS($C:$C,$X41,$D:$D,判定!$L$2)&gt;0,COUNTIFS($C:$C,$X41,$D:$D,判定!$L$3)&gt;0,COUNTIFS($C:$C,$X41,$D:$D,判定!$L$4)&gt;0),1,0)+IF(COUNTIFS($C:$C,$X41,$D:$D,判定!$L$7)&gt;0,1,0)+IF(COUNTIFS($C:$C,$X41,$D:$D,判定!$L$8)&gt;0,1,0)+IF(COUNTIFS($C:$C,$X41,$D:$D,判定!$L$9)&gt;0,1,0)</f>
        <v>0</v>
      </c>
      <c r="Z41" s="221" t="str">
        <f>IF(Y41&gt;0,Y41*100+COUNTIF($Y$15:Y41,Y41),"")</f>
        <v/>
      </c>
      <c r="AA41" s="221" t="e">
        <f t="shared" si="2"/>
        <v>#NUM!</v>
      </c>
      <c r="AB41" s="226"/>
      <c r="AC41" s="226"/>
      <c r="AD41" s="226"/>
      <c r="AE41" s="226"/>
      <c r="AF41" s="226"/>
    </row>
    <row r="42" spans="1:32" x14ac:dyDescent="0.2">
      <c r="A42" s="221" t="str">
        <f>IF($D42="","",COUNTA($D$15:$D42))</f>
        <v/>
      </c>
      <c r="B42" s="235"/>
      <c r="C42" s="235"/>
      <c r="D42" s="235"/>
      <c r="E42" s="337"/>
      <c r="F42" s="337"/>
      <c r="G42" s="337"/>
      <c r="H42" s="338"/>
      <c r="I42" s="339" t="str">
        <f t="shared" si="0"/>
        <v/>
      </c>
      <c r="J42" s="236" t="str">
        <f ca="1">IFERROR(VLOOKUP($G42,INDIRECT("判定!"&amp;ADDRESS(ROW(判定!$N$2)+1,COLUMN(判定!$N$2)+MATCH($D42,判定!$N$2:$W$2,0)-1,4,1)&amp;":"&amp;ADDRESS(ROW(判定!$O$2)+4,COLUMN(判定!$N$2)+MATCH($D42,判定!$N$2:$W$2,0),4,1),1),2,1),"")</f>
        <v/>
      </c>
      <c r="K42" s="340"/>
      <c r="L42" s="341"/>
      <c r="M42" s="330"/>
      <c r="N42" s="330"/>
      <c r="O42" s="331"/>
      <c r="P42" s="237"/>
      <c r="Q42" s="234" t="str">
        <f>IF(COUNTIF(判定!$L$2:$L$9,$D42)&gt;0,$P42,"")</f>
        <v/>
      </c>
      <c r="R42" s="234" t="str">
        <f>IF(COUNTIF(判定!$L$10:$L$20,$D42)&gt;0,$P42,"")</f>
        <v/>
      </c>
      <c r="S42" s="234" t="str">
        <f>IF(COUNTIF(判定!$L$21,$D42)&gt;0,$P42,"")</f>
        <v/>
      </c>
      <c r="T42" s="344"/>
      <c r="V42" s="226"/>
      <c r="W42" s="221" t="str">
        <f>IF(OR($C42=判定!$K$2,$C42=判定!$K$3,$C42=判定!$K$4,$C42=判定!$K$5),"",IF(COUNTIF($C$15:$C42,$C42)=1,ROW(),""))</f>
        <v/>
      </c>
      <c r="X42" s="221">
        <f t="shared" si="1"/>
        <v>0</v>
      </c>
      <c r="Y42" s="221">
        <f>IF(COUNTIF($C:$C,$X42)&gt;0,1,0)+IF(OR(COUNTIFS($C:$C,$X42,$D:$D,判定!$L$2)&gt;0,COUNTIFS($C:$C,$X42,$D:$D,判定!$L$3)&gt;0,COUNTIFS($C:$C,$X42,$D:$D,判定!$L$4)&gt;0),1,0)+IF(COUNTIFS($C:$C,$X42,$D:$D,判定!$L$7)&gt;0,1,0)+IF(COUNTIFS($C:$C,$X42,$D:$D,判定!$L$8)&gt;0,1,0)+IF(COUNTIFS($C:$C,$X42,$D:$D,判定!$L$9)&gt;0,1,0)</f>
        <v>0</v>
      </c>
      <c r="Z42" s="221" t="str">
        <f>IF(Y42&gt;0,Y42*100+COUNTIF($Y$15:Y42,Y42),"")</f>
        <v/>
      </c>
      <c r="AA42" s="221" t="e">
        <f t="shared" si="2"/>
        <v>#NUM!</v>
      </c>
      <c r="AB42" s="226"/>
      <c r="AC42" s="226"/>
      <c r="AD42" s="226"/>
      <c r="AE42" s="226"/>
      <c r="AF42" s="226"/>
    </row>
    <row r="43" spans="1:32" x14ac:dyDescent="0.2">
      <c r="A43" s="221" t="str">
        <f>IF($D43="","",COUNTA($D$15:$D43))</f>
        <v/>
      </c>
      <c r="B43" s="235"/>
      <c r="C43" s="235"/>
      <c r="D43" s="235"/>
      <c r="E43" s="337"/>
      <c r="F43" s="337"/>
      <c r="G43" s="337"/>
      <c r="H43" s="338"/>
      <c r="I43" s="339" t="str">
        <f t="shared" si="0"/>
        <v/>
      </c>
      <c r="J43" s="236" t="str">
        <f ca="1">IFERROR(VLOOKUP($G43,INDIRECT("判定!"&amp;ADDRESS(ROW(判定!$N$2)+1,COLUMN(判定!$N$2)+MATCH($D43,判定!$N$2:$W$2,0)-1,4,1)&amp;":"&amp;ADDRESS(ROW(判定!$O$2)+4,COLUMN(判定!$N$2)+MATCH($D43,判定!$N$2:$W$2,0),4,1),1),2,1),"")</f>
        <v/>
      </c>
      <c r="K43" s="340"/>
      <c r="L43" s="341"/>
      <c r="M43" s="330"/>
      <c r="N43" s="330"/>
      <c r="O43" s="331"/>
      <c r="P43" s="237"/>
      <c r="Q43" s="234" t="str">
        <f>IF(COUNTIF(判定!$L$2:$L$9,$D43)&gt;0,$P43,"")</f>
        <v/>
      </c>
      <c r="R43" s="234" t="str">
        <f>IF(COUNTIF(判定!$L$10:$L$20,$D43)&gt;0,$P43,"")</f>
        <v/>
      </c>
      <c r="S43" s="234" t="str">
        <f>IF(COUNTIF(判定!$L$21,$D43)&gt;0,$P43,"")</f>
        <v/>
      </c>
      <c r="T43" s="344"/>
      <c r="V43" s="226"/>
      <c r="W43" s="221" t="str">
        <f>IF(OR($C43=判定!$K$2,$C43=判定!$K$3,$C43=判定!$K$4,$C43=判定!$K$5),"",IF(COUNTIF($C$15:$C43,$C43)=1,ROW(),""))</f>
        <v/>
      </c>
      <c r="X43" s="221">
        <f t="shared" si="1"/>
        <v>0</v>
      </c>
      <c r="Y43" s="221">
        <f>IF(COUNTIF($C:$C,$X43)&gt;0,1,0)+IF(OR(COUNTIFS($C:$C,$X43,$D:$D,判定!$L$2)&gt;0,COUNTIFS($C:$C,$X43,$D:$D,判定!$L$3)&gt;0,COUNTIFS($C:$C,$X43,$D:$D,判定!$L$4)&gt;0),1,0)+IF(COUNTIFS($C:$C,$X43,$D:$D,判定!$L$7)&gt;0,1,0)+IF(COUNTIFS($C:$C,$X43,$D:$D,判定!$L$8)&gt;0,1,0)+IF(COUNTIFS($C:$C,$X43,$D:$D,判定!$L$9)&gt;0,1,0)</f>
        <v>0</v>
      </c>
      <c r="Z43" s="221" t="str">
        <f>IF(Y43&gt;0,Y43*100+COUNTIF($Y$15:Y43,Y43),"")</f>
        <v/>
      </c>
      <c r="AA43" s="221" t="e">
        <f t="shared" si="2"/>
        <v>#NUM!</v>
      </c>
      <c r="AB43" s="226"/>
      <c r="AC43" s="226"/>
      <c r="AD43" s="226"/>
      <c r="AE43" s="226"/>
      <c r="AF43" s="226"/>
    </row>
    <row r="44" spans="1:32" x14ac:dyDescent="0.2">
      <c r="A44" s="221" t="str">
        <f>IF($D44="","",COUNTA($D$15:$D44))</f>
        <v/>
      </c>
      <c r="B44" s="235"/>
      <c r="C44" s="235"/>
      <c r="D44" s="235"/>
      <c r="E44" s="337"/>
      <c r="F44" s="337"/>
      <c r="G44" s="337"/>
      <c r="H44" s="338"/>
      <c r="I44" s="339" t="str">
        <f t="shared" si="0"/>
        <v/>
      </c>
      <c r="J44" s="236" t="str">
        <f ca="1">IFERROR(VLOOKUP($G44,INDIRECT("判定!"&amp;ADDRESS(ROW(判定!$N$2)+1,COLUMN(判定!$N$2)+MATCH($D44,判定!$N$2:$W$2,0)-1,4,1)&amp;":"&amp;ADDRESS(ROW(判定!$O$2)+4,COLUMN(判定!$N$2)+MATCH($D44,判定!$N$2:$W$2,0),4,1),1),2,1),"")</f>
        <v/>
      </c>
      <c r="K44" s="340"/>
      <c r="L44" s="341"/>
      <c r="M44" s="330"/>
      <c r="N44" s="330"/>
      <c r="O44" s="331"/>
      <c r="P44" s="237"/>
      <c r="Q44" s="234" t="str">
        <f>IF(COUNTIF(判定!$L$2:$L$9,$D44)&gt;0,$P44,"")</f>
        <v/>
      </c>
      <c r="R44" s="234" t="str">
        <f>IF(COUNTIF(判定!$L$10:$L$20,$D44)&gt;0,$P44,"")</f>
        <v/>
      </c>
      <c r="S44" s="234" t="str">
        <f>IF(COUNTIF(判定!$L$21,$D44)&gt;0,$P44,"")</f>
        <v/>
      </c>
      <c r="T44" s="344"/>
      <c r="V44" s="226"/>
      <c r="W44" s="221" t="str">
        <f>IF(OR($C44=判定!$K$2,$C44=判定!$K$3,$C44=判定!$K$4,$C44=判定!$K$5),"",IF(COUNTIF($C$15:$C44,$C44)=1,ROW(),""))</f>
        <v/>
      </c>
      <c r="X44" s="221">
        <f t="shared" si="1"/>
        <v>0</v>
      </c>
      <c r="Y44" s="221">
        <f>IF(COUNTIF($C:$C,$X44)&gt;0,1,0)+IF(OR(COUNTIFS($C:$C,$X44,$D:$D,判定!$L$2)&gt;0,COUNTIFS($C:$C,$X44,$D:$D,判定!$L$3)&gt;0,COUNTIFS($C:$C,$X44,$D:$D,判定!$L$4)&gt;0),1,0)+IF(COUNTIFS($C:$C,$X44,$D:$D,判定!$L$7)&gt;0,1,0)+IF(COUNTIFS($C:$C,$X44,$D:$D,判定!$L$8)&gt;0,1,0)+IF(COUNTIFS($C:$C,$X44,$D:$D,判定!$L$9)&gt;0,1,0)</f>
        <v>0</v>
      </c>
      <c r="Z44" s="221" t="str">
        <f>IF(Y44&gt;0,Y44*100+COUNTIF($Y$15:Y44,Y44),"")</f>
        <v/>
      </c>
      <c r="AA44" s="221" t="e">
        <f t="shared" si="2"/>
        <v>#NUM!</v>
      </c>
      <c r="AB44" s="226"/>
      <c r="AC44" s="226"/>
      <c r="AD44" s="226"/>
      <c r="AE44" s="226"/>
      <c r="AF44" s="226"/>
    </row>
    <row r="45" spans="1:32" x14ac:dyDescent="0.2">
      <c r="A45" s="221" t="str">
        <f>IF($D45="","",COUNTA($D$15:$D45))</f>
        <v/>
      </c>
      <c r="B45" s="235"/>
      <c r="C45" s="235"/>
      <c r="D45" s="235"/>
      <c r="E45" s="337"/>
      <c r="F45" s="337"/>
      <c r="G45" s="337"/>
      <c r="H45" s="338"/>
      <c r="I45" s="339" t="str">
        <f t="shared" si="0"/>
        <v/>
      </c>
      <c r="J45" s="236" t="str">
        <f ca="1">IFERROR(VLOOKUP($G45,INDIRECT("判定!"&amp;ADDRESS(ROW(判定!$N$2)+1,COLUMN(判定!$N$2)+MATCH($D45,判定!$N$2:$W$2,0)-1,4,1)&amp;":"&amp;ADDRESS(ROW(判定!$O$2)+4,COLUMN(判定!$N$2)+MATCH($D45,判定!$N$2:$W$2,0),4,1),1),2,1),"")</f>
        <v/>
      </c>
      <c r="K45" s="340"/>
      <c r="L45" s="341"/>
      <c r="M45" s="330"/>
      <c r="N45" s="330"/>
      <c r="O45" s="331"/>
      <c r="P45" s="237"/>
      <c r="Q45" s="234" t="str">
        <f>IF(COUNTIF(判定!$L$2:$L$9,$D45)&gt;0,$P45,"")</f>
        <v/>
      </c>
      <c r="R45" s="234" t="str">
        <f>IF(COUNTIF(判定!$L$10:$L$20,$D45)&gt;0,$P45,"")</f>
        <v/>
      </c>
      <c r="S45" s="234" t="str">
        <f>IF(COUNTIF(判定!$L$21,$D45)&gt;0,$P45,"")</f>
        <v/>
      </c>
      <c r="T45" s="344"/>
      <c r="V45" s="226"/>
      <c r="W45" s="221" t="str">
        <f>IF(OR($C45=判定!$K$2,$C45=判定!$K$3,$C45=判定!$K$4,$C45=判定!$K$5),"",IF(COUNTIF($C$15:$C45,$C45)=1,ROW(),""))</f>
        <v/>
      </c>
      <c r="X45" s="221">
        <f t="shared" si="1"/>
        <v>0</v>
      </c>
      <c r="Y45" s="221">
        <f>IF(COUNTIF($C:$C,$X45)&gt;0,1,0)+IF(OR(COUNTIFS($C:$C,$X45,$D:$D,判定!$L$2)&gt;0,COUNTIFS($C:$C,$X45,$D:$D,判定!$L$3)&gt;0,COUNTIFS($C:$C,$X45,$D:$D,判定!$L$4)&gt;0),1,0)+IF(COUNTIFS($C:$C,$X45,$D:$D,判定!$L$7)&gt;0,1,0)+IF(COUNTIFS($C:$C,$X45,$D:$D,判定!$L$8)&gt;0,1,0)+IF(COUNTIFS($C:$C,$X45,$D:$D,判定!$L$9)&gt;0,1,0)</f>
        <v>0</v>
      </c>
      <c r="Z45" s="221" t="str">
        <f>IF(Y45&gt;0,Y45*100+COUNTIF($Y$15:Y45,Y45),"")</f>
        <v/>
      </c>
      <c r="AA45" s="221" t="e">
        <f t="shared" si="2"/>
        <v>#NUM!</v>
      </c>
      <c r="AB45" s="226"/>
      <c r="AC45" s="226"/>
      <c r="AD45" s="226"/>
      <c r="AE45" s="226"/>
      <c r="AF45" s="226"/>
    </row>
    <row r="46" spans="1:32" x14ac:dyDescent="0.2">
      <c r="A46" s="221" t="str">
        <f>IF($D46="","",COUNTA($D$15:$D46))</f>
        <v/>
      </c>
      <c r="B46" s="235"/>
      <c r="C46" s="235"/>
      <c r="D46" s="235"/>
      <c r="E46" s="337"/>
      <c r="F46" s="337"/>
      <c r="G46" s="337"/>
      <c r="H46" s="338"/>
      <c r="I46" s="339" t="str">
        <f t="shared" si="0"/>
        <v/>
      </c>
      <c r="J46" s="236" t="str">
        <f ca="1">IFERROR(VLOOKUP($G46,INDIRECT("判定!"&amp;ADDRESS(ROW(判定!$N$2)+1,COLUMN(判定!$N$2)+MATCH($D46,判定!$N$2:$W$2,0)-1,4,1)&amp;":"&amp;ADDRESS(ROW(判定!$O$2)+4,COLUMN(判定!$N$2)+MATCH($D46,判定!$N$2:$W$2,0),4,1),1),2,1),"")</f>
        <v/>
      </c>
      <c r="K46" s="340"/>
      <c r="L46" s="341"/>
      <c r="M46" s="330"/>
      <c r="N46" s="330"/>
      <c r="O46" s="331"/>
      <c r="P46" s="237"/>
      <c r="Q46" s="234" t="str">
        <f>IF(COUNTIF(判定!$L$2:$L$9,$D46)&gt;0,$P46,"")</f>
        <v/>
      </c>
      <c r="R46" s="234" t="str">
        <f>IF(COUNTIF(判定!$L$10:$L$20,$D46)&gt;0,$P46,"")</f>
        <v/>
      </c>
      <c r="S46" s="234" t="str">
        <f>IF(COUNTIF(判定!$L$21,$D46)&gt;0,$P46,"")</f>
        <v/>
      </c>
      <c r="T46" s="344"/>
      <c r="V46" s="226"/>
      <c r="W46" s="221" t="str">
        <f>IF(OR($C46=判定!$K$2,$C46=判定!$K$3,$C46=判定!$K$4,$C46=判定!$K$5),"",IF(COUNTIF($C$15:$C46,$C46)=1,ROW(),""))</f>
        <v/>
      </c>
      <c r="X46" s="221">
        <f t="shared" si="1"/>
        <v>0</v>
      </c>
      <c r="Y46" s="221">
        <f>IF(COUNTIF($C:$C,$X46)&gt;0,1,0)+IF(OR(COUNTIFS($C:$C,$X46,$D:$D,判定!$L$2)&gt;0,COUNTIFS($C:$C,$X46,$D:$D,判定!$L$3)&gt;0,COUNTIFS($C:$C,$X46,$D:$D,判定!$L$4)&gt;0),1,0)+IF(COUNTIFS($C:$C,$X46,$D:$D,判定!$L$7)&gt;0,1,0)+IF(COUNTIFS($C:$C,$X46,$D:$D,判定!$L$8)&gt;0,1,0)+IF(COUNTIFS($C:$C,$X46,$D:$D,判定!$L$9)&gt;0,1,0)</f>
        <v>0</v>
      </c>
      <c r="Z46" s="221" t="str">
        <f>IF(Y46&gt;0,Y46*100+COUNTIF($Y$15:Y46,Y46),"")</f>
        <v/>
      </c>
      <c r="AA46" s="221" t="e">
        <f t="shared" si="2"/>
        <v>#NUM!</v>
      </c>
      <c r="AB46" s="226"/>
      <c r="AC46" s="226"/>
      <c r="AD46" s="226"/>
      <c r="AE46" s="226"/>
      <c r="AF46" s="226"/>
    </row>
    <row r="47" spans="1:32" x14ac:dyDescent="0.2">
      <c r="A47" s="221" t="str">
        <f>IF($D47="","",COUNTA($D$15:$D47))</f>
        <v/>
      </c>
      <c r="B47" s="235"/>
      <c r="C47" s="235"/>
      <c r="D47" s="235"/>
      <c r="E47" s="337"/>
      <c r="F47" s="337"/>
      <c r="G47" s="337"/>
      <c r="H47" s="338"/>
      <c r="I47" s="339" t="str">
        <f t="shared" si="0"/>
        <v/>
      </c>
      <c r="J47" s="236" t="str">
        <f ca="1">IFERROR(VLOOKUP($G47,INDIRECT("判定!"&amp;ADDRESS(ROW(判定!$N$2)+1,COLUMN(判定!$N$2)+MATCH($D47,判定!$N$2:$W$2,0)-1,4,1)&amp;":"&amp;ADDRESS(ROW(判定!$O$2)+4,COLUMN(判定!$N$2)+MATCH($D47,判定!$N$2:$W$2,0),4,1),1),2,1),"")</f>
        <v/>
      </c>
      <c r="K47" s="340"/>
      <c r="L47" s="341"/>
      <c r="M47" s="330"/>
      <c r="N47" s="330"/>
      <c r="O47" s="331"/>
      <c r="P47" s="237"/>
      <c r="Q47" s="234" t="str">
        <f>IF(COUNTIF(判定!$L$2:$L$9,$D47)&gt;0,$P47,"")</f>
        <v/>
      </c>
      <c r="R47" s="234" t="str">
        <f>IF(COUNTIF(判定!$L$10:$L$20,$D47)&gt;0,$P47,"")</f>
        <v/>
      </c>
      <c r="S47" s="234" t="str">
        <f>IF(COUNTIF(判定!$L$21,$D47)&gt;0,$P47,"")</f>
        <v/>
      </c>
      <c r="T47" s="341"/>
      <c r="V47" s="226"/>
      <c r="W47" s="221" t="str">
        <f>IF(OR($C47=判定!$K$2,$C47=判定!$K$3,$C47=判定!$K$4,$C47=判定!$K$5),"",IF(COUNTIF($C$15:$C47,$C47)=1,ROW(),""))</f>
        <v/>
      </c>
      <c r="X47" s="221">
        <f t="shared" si="1"/>
        <v>0</v>
      </c>
      <c r="Y47" s="221">
        <f>IF(COUNTIF($C:$C,$X47)&gt;0,1,0)+IF(OR(COUNTIFS($C:$C,$X47,$D:$D,判定!$L$2)&gt;0,COUNTIFS($C:$C,$X47,$D:$D,判定!$L$3)&gt;0,COUNTIFS($C:$C,$X47,$D:$D,判定!$L$4)&gt;0),1,0)+IF(COUNTIFS($C:$C,$X47,$D:$D,判定!$L$7)&gt;0,1,0)+IF(COUNTIFS($C:$C,$X47,$D:$D,判定!$L$8)&gt;0,1,0)+IF(COUNTIFS($C:$C,$X47,$D:$D,判定!$L$9)&gt;0,1,0)</f>
        <v>0</v>
      </c>
      <c r="Z47" s="221" t="str">
        <f>IF(Y47&gt;0,Y47*100+COUNTIF($Y$15:Y47,Y47),"")</f>
        <v/>
      </c>
      <c r="AA47" s="221" t="e">
        <f t="shared" si="2"/>
        <v>#NUM!</v>
      </c>
      <c r="AB47" s="226"/>
      <c r="AC47" s="226"/>
      <c r="AD47" s="226"/>
      <c r="AE47" s="226"/>
      <c r="AF47" s="226"/>
    </row>
    <row r="48" spans="1:32" x14ac:dyDescent="0.2">
      <c r="A48" s="221" t="str">
        <f>IF($D48="","",COUNTA($D$15:$D48))</f>
        <v/>
      </c>
      <c r="B48" s="235"/>
      <c r="C48" s="235"/>
      <c r="D48" s="235"/>
      <c r="E48" s="337"/>
      <c r="F48" s="337"/>
      <c r="G48" s="337"/>
      <c r="H48" s="338"/>
      <c r="I48" s="339" t="str">
        <f t="shared" si="0"/>
        <v/>
      </c>
      <c r="J48" s="236" t="str">
        <f ca="1">IFERROR(VLOOKUP($G48,INDIRECT("判定!"&amp;ADDRESS(ROW(判定!$N$2)+1,COLUMN(判定!$N$2)+MATCH($D48,判定!$N$2:$W$2,0)-1,4,1)&amp;":"&amp;ADDRESS(ROW(判定!$O$2)+4,COLUMN(判定!$N$2)+MATCH($D48,判定!$N$2:$W$2,0),4,1),1),2,1),"")</f>
        <v/>
      </c>
      <c r="K48" s="340"/>
      <c r="L48" s="341"/>
      <c r="M48" s="330"/>
      <c r="N48" s="330"/>
      <c r="O48" s="331"/>
      <c r="P48" s="237"/>
      <c r="Q48" s="234" t="str">
        <f>IF(COUNTIF(判定!$L$2:$L$9,$D48)&gt;0,$P48,"")</f>
        <v/>
      </c>
      <c r="R48" s="234" t="str">
        <f>IF(COUNTIF(判定!$L$10:$L$20,$D48)&gt;0,$P48,"")</f>
        <v/>
      </c>
      <c r="S48" s="234" t="str">
        <f>IF(COUNTIF(判定!$L$21,$D48)&gt;0,$P48,"")</f>
        <v/>
      </c>
      <c r="T48" s="341"/>
      <c r="V48" s="226"/>
      <c r="W48" s="221" t="str">
        <f>IF(OR($C48=判定!$K$2,$C48=判定!$K$3,$C48=判定!$K$4,$C48=判定!$K$5),"",IF(COUNTIF($C$15:$C48,$C48)=1,ROW(),""))</f>
        <v/>
      </c>
      <c r="X48" s="221">
        <f t="shared" si="1"/>
        <v>0</v>
      </c>
      <c r="Y48" s="221">
        <f>IF(COUNTIF($C:$C,$X48)&gt;0,1,0)+IF(OR(COUNTIFS($C:$C,$X48,$D:$D,判定!$L$2)&gt;0,COUNTIFS($C:$C,$X48,$D:$D,判定!$L$3)&gt;0,COUNTIFS($C:$C,$X48,$D:$D,判定!$L$4)&gt;0),1,0)+IF(COUNTIFS($C:$C,$X48,$D:$D,判定!$L$7)&gt;0,1,0)+IF(COUNTIFS($C:$C,$X48,$D:$D,判定!$L$8)&gt;0,1,0)+IF(COUNTIFS($C:$C,$X48,$D:$D,判定!$L$9)&gt;0,1,0)</f>
        <v>0</v>
      </c>
      <c r="Z48" s="221" t="str">
        <f>IF(Y48&gt;0,Y48*100+COUNTIF($Y$15:Y48,Y48),"")</f>
        <v/>
      </c>
      <c r="AA48" s="221" t="e">
        <f t="shared" si="2"/>
        <v>#NUM!</v>
      </c>
      <c r="AB48" s="226"/>
      <c r="AC48" s="226"/>
      <c r="AD48" s="226"/>
      <c r="AE48" s="226"/>
      <c r="AF48" s="226"/>
    </row>
    <row r="49" spans="1:32" x14ac:dyDescent="0.2">
      <c r="A49" s="221" t="str">
        <f>IF($D49="","",COUNTA($D$15:$D49))</f>
        <v/>
      </c>
      <c r="B49" s="235"/>
      <c r="C49" s="235"/>
      <c r="D49" s="235"/>
      <c r="E49" s="337"/>
      <c r="F49" s="337"/>
      <c r="G49" s="337"/>
      <c r="H49" s="338"/>
      <c r="I49" s="339" t="str">
        <f t="shared" si="0"/>
        <v/>
      </c>
      <c r="J49" s="236" t="str">
        <f ca="1">IFERROR(VLOOKUP($G49,INDIRECT("判定!"&amp;ADDRESS(ROW(判定!$N$2)+1,COLUMN(判定!$N$2)+MATCH($D49,判定!$N$2:$W$2,0)-1,4,1)&amp;":"&amp;ADDRESS(ROW(判定!$O$2)+4,COLUMN(判定!$N$2)+MATCH($D49,判定!$N$2:$W$2,0),4,1),1),2,1),"")</f>
        <v/>
      </c>
      <c r="K49" s="340"/>
      <c r="L49" s="341"/>
      <c r="M49" s="330"/>
      <c r="N49" s="330"/>
      <c r="O49" s="331"/>
      <c r="P49" s="237"/>
      <c r="Q49" s="234" t="str">
        <f>IF(COUNTIF(判定!$L$2:$L$9,$D49)&gt;0,$P49,"")</f>
        <v/>
      </c>
      <c r="R49" s="234" t="str">
        <f>IF(COUNTIF(判定!$L$10:$L$20,$D49)&gt;0,$P49,"")</f>
        <v/>
      </c>
      <c r="S49" s="234" t="str">
        <f>IF(COUNTIF(判定!$L$21,$D49)&gt;0,$P49,"")</f>
        <v/>
      </c>
      <c r="T49" s="341"/>
      <c r="V49" s="226"/>
      <c r="W49" s="221" t="str">
        <f>IF(OR($C49=判定!$K$2,$C49=判定!$K$3,$C49=判定!$K$4,$C49=判定!$K$5),"",IF(COUNTIF($C$15:$C49,$C49)=1,ROW(),""))</f>
        <v/>
      </c>
      <c r="X49" s="221">
        <f t="shared" si="1"/>
        <v>0</v>
      </c>
      <c r="Y49" s="221">
        <f>IF(COUNTIF($C:$C,$X49)&gt;0,1,0)+IF(OR(COUNTIFS($C:$C,$X49,$D:$D,判定!$L$2)&gt;0,COUNTIFS($C:$C,$X49,$D:$D,判定!$L$3)&gt;0,COUNTIFS($C:$C,$X49,$D:$D,判定!$L$4)&gt;0),1,0)+IF(COUNTIFS($C:$C,$X49,$D:$D,判定!$L$7)&gt;0,1,0)+IF(COUNTIFS($C:$C,$X49,$D:$D,判定!$L$8)&gt;0,1,0)+IF(COUNTIFS($C:$C,$X49,$D:$D,判定!$L$9)&gt;0,1,0)</f>
        <v>0</v>
      </c>
      <c r="Z49" s="221" t="str">
        <f>IF(Y49&gt;0,Y49*100+COUNTIF($Y$15:Y49,Y49),"")</f>
        <v/>
      </c>
      <c r="AA49" s="221" t="e">
        <f t="shared" si="2"/>
        <v>#NUM!</v>
      </c>
      <c r="AB49" s="226"/>
      <c r="AC49" s="226"/>
      <c r="AD49" s="226"/>
      <c r="AE49" s="226"/>
      <c r="AF49" s="226"/>
    </row>
    <row r="50" spans="1:32" x14ac:dyDescent="0.2">
      <c r="A50" s="221" t="str">
        <f>IF($D50="","",COUNTA($D$15:$D50))</f>
        <v/>
      </c>
      <c r="B50" s="235"/>
      <c r="C50" s="235"/>
      <c r="D50" s="235"/>
      <c r="E50" s="337"/>
      <c r="F50" s="337"/>
      <c r="G50" s="337"/>
      <c r="H50" s="338"/>
      <c r="I50" s="339" t="str">
        <f t="shared" si="0"/>
        <v/>
      </c>
      <c r="J50" s="236" t="str">
        <f ca="1">IFERROR(VLOOKUP($G50,INDIRECT("判定!"&amp;ADDRESS(ROW(判定!$N$2)+1,COLUMN(判定!$N$2)+MATCH($D50,判定!$N$2:$W$2,0)-1,4,1)&amp;":"&amp;ADDRESS(ROW(判定!$O$2)+4,COLUMN(判定!$N$2)+MATCH($D50,判定!$N$2:$W$2,0),4,1),1),2,1),"")</f>
        <v/>
      </c>
      <c r="K50" s="340"/>
      <c r="L50" s="341"/>
      <c r="M50" s="330"/>
      <c r="N50" s="330"/>
      <c r="O50" s="331"/>
      <c r="P50" s="237"/>
      <c r="Q50" s="234" t="str">
        <f>IF(COUNTIF(判定!$L$2:$L$9,$D50)&gt;0,$P50,"")</f>
        <v/>
      </c>
      <c r="R50" s="234" t="str">
        <f>IF(COUNTIF(判定!$L$10:$L$20,$D50)&gt;0,$P50,"")</f>
        <v/>
      </c>
      <c r="S50" s="234" t="str">
        <f>IF(COUNTIF(判定!$L$21,$D50)&gt;0,$P50,"")</f>
        <v/>
      </c>
      <c r="T50" s="341"/>
      <c r="V50" s="226"/>
      <c r="W50" s="221" t="str">
        <f>IF(OR($C50=判定!$K$2,$C50=判定!$K$3,$C50=判定!$K$4,$C50=判定!$K$5),"",IF(COUNTIF($C$15:$C50,$C50)=1,ROW(),""))</f>
        <v/>
      </c>
      <c r="X50" s="221">
        <f t="shared" si="1"/>
        <v>0</v>
      </c>
      <c r="Y50" s="221">
        <f>IF(COUNTIF($C:$C,$X50)&gt;0,1,0)+IF(OR(COUNTIFS($C:$C,$X50,$D:$D,判定!$L$2)&gt;0,COUNTIFS($C:$C,$X50,$D:$D,判定!$L$3)&gt;0,COUNTIFS($C:$C,$X50,$D:$D,判定!$L$4)&gt;0),1,0)+IF(COUNTIFS($C:$C,$X50,$D:$D,判定!$L$7)&gt;0,1,0)+IF(COUNTIFS($C:$C,$X50,$D:$D,判定!$L$8)&gt;0,1,0)+IF(COUNTIFS($C:$C,$X50,$D:$D,判定!$L$9)&gt;0,1,0)</f>
        <v>0</v>
      </c>
      <c r="Z50" s="221" t="str">
        <f>IF(Y50&gt;0,Y50*100+COUNTIF($Y$15:Y50,Y50),"")</f>
        <v/>
      </c>
      <c r="AA50" s="221" t="e">
        <f t="shared" si="2"/>
        <v>#NUM!</v>
      </c>
      <c r="AB50" s="226"/>
      <c r="AC50" s="226"/>
      <c r="AD50" s="226"/>
      <c r="AE50" s="226"/>
      <c r="AF50" s="226"/>
    </row>
    <row r="51" spans="1:32" x14ac:dyDescent="0.2">
      <c r="A51" s="221" t="str">
        <f>IF($D51="","",COUNTA($D$15:$D51))</f>
        <v/>
      </c>
      <c r="B51" s="235"/>
      <c r="C51" s="235"/>
      <c r="D51" s="235"/>
      <c r="E51" s="337"/>
      <c r="F51" s="337"/>
      <c r="G51" s="337"/>
      <c r="H51" s="338"/>
      <c r="I51" s="339" t="str">
        <f t="shared" si="0"/>
        <v/>
      </c>
      <c r="J51" s="236" t="str">
        <f ca="1">IFERROR(VLOOKUP($G51,INDIRECT("判定!"&amp;ADDRESS(ROW(判定!$N$2)+1,COLUMN(判定!$N$2)+MATCH($D51,判定!$N$2:$W$2,0)-1,4,1)&amp;":"&amp;ADDRESS(ROW(判定!$O$2)+4,COLUMN(判定!$N$2)+MATCH($D51,判定!$N$2:$W$2,0),4,1),1),2,1),"")</f>
        <v/>
      </c>
      <c r="K51" s="340"/>
      <c r="L51" s="341"/>
      <c r="M51" s="330"/>
      <c r="N51" s="330"/>
      <c r="O51" s="331"/>
      <c r="P51" s="237"/>
      <c r="Q51" s="234" t="str">
        <f>IF(COUNTIF(判定!$L$2:$L$9,$D51)&gt;0,$P51,"")</f>
        <v/>
      </c>
      <c r="R51" s="234" t="str">
        <f>IF(COUNTIF(判定!$L$10:$L$20,$D51)&gt;0,$P51,"")</f>
        <v/>
      </c>
      <c r="S51" s="234" t="str">
        <f>IF(COUNTIF(判定!$L$21,$D51)&gt;0,$P51,"")</f>
        <v/>
      </c>
      <c r="T51" s="341"/>
      <c r="V51" s="226"/>
      <c r="W51" s="221" t="str">
        <f>IF(OR($C51=判定!$K$2,$C51=判定!$K$3,$C51=判定!$K$4,$C51=判定!$K$5),"",IF(COUNTIF($C$15:$C51,$C51)=1,ROW(),""))</f>
        <v/>
      </c>
      <c r="X51" s="221">
        <f t="shared" si="1"/>
        <v>0</v>
      </c>
      <c r="Y51" s="221">
        <f>IF(COUNTIF($C:$C,$X51)&gt;0,1,0)+IF(OR(COUNTIFS($C:$C,$X51,$D:$D,判定!$L$2)&gt;0,COUNTIFS($C:$C,$X51,$D:$D,判定!$L$3)&gt;0,COUNTIFS($C:$C,$X51,$D:$D,判定!$L$4)&gt;0),1,0)+IF(COUNTIFS($C:$C,$X51,$D:$D,判定!$L$7)&gt;0,1,0)+IF(COUNTIFS($C:$C,$X51,$D:$D,判定!$L$8)&gt;0,1,0)+IF(COUNTIFS($C:$C,$X51,$D:$D,判定!$L$9)&gt;0,1,0)</f>
        <v>0</v>
      </c>
      <c r="Z51" s="221" t="str">
        <f>IF(Y51&gt;0,Y51*100+COUNTIF($Y$15:Y51,Y51),"")</f>
        <v/>
      </c>
      <c r="AA51" s="221" t="e">
        <f t="shared" si="2"/>
        <v>#NUM!</v>
      </c>
      <c r="AB51" s="226"/>
      <c r="AC51" s="226"/>
      <c r="AD51" s="226"/>
      <c r="AE51" s="226"/>
      <c r="AF51" s="226"/>
    </row>
    <row r="52" spans="1:32" x14ac:dyDescent="0.2">
      <c r="A52" s="221" t="str">
        <f>IF($D52="","",COUNTA($D$15:$D52))</f>
        <v/>
      </c>
      <c r="B52" s="235"/>
      <c r="C52" s="235"/>
      <c r="D52" s="235"/>
      <c r="E52" s="337"/>
      <c r="F52" s="337"/>
      <c r="G52" s="337"/>
      <c r="H52" s="338"/>
      <c r="I52" s="339" t="str">
        <f t="shared" si="0"/>
        <v/>
      </c>
      <c r="J52" s="236" t="str">
        <f ca="1">IFERROR(VLOOKUP($G52,INDIRECT("判定!"&amp;ADDRESS(ROW(判定!$N$2)+1,COLUMN(判定!$N$2)+MATCH($D52,判定!$N$2:$W$2,0)-1,4,1)&amp;":"&amp;ADDRESS(ROW(判定!$O$2)+4,COLUMN(判定!$N$2)+MATCH($D52,判定!$N$2:$W$2,0),4,1),1),2,1),"")</f>
        <v/>
      </c>
      <c r="K52" s="340"/>
      <c r="L52" s="341"/>
      <c r="M52" s="330"/>
      <c r="N52" s="330"/>
      <c r="O52" s="331"/>
      <c r="P52" s="237"/>
      <c r="Q52" s="234" t="str">
        <f>IF(COUNTIF(判定!$L$2:$L$9,$D52)&gt;0,$P52,"")</f>
        <v/>
      </c>
      <c r="R52" s="234" t="str">
        <f>IF(COUNTIF(判定!$L$10:$L$20,$D52)&gt;0,$P52,"")</f>
        <v/>
      </c>
      <c r="S52" s="234" t="str">
        <f>IF(COUNTIF(判定!$L$21,$D52)&gt;0,$P52,"")</f>
        <v/>
      </c>
      <c r="T52" s="341"/>
      <c r="V52" s="226"/>
      <c r="W52" s="221" t="str">
        <f>IF(OR($C52=判定!$K$2,$C52=判定!$K$3,$C52=判定!$K$4,$C52=判定!$K$5),"",IF(COUNTIF($C$15:$C52,$C52)=1,ROW(),""))</f>
        <v/>
      </c>
      <c r="X52" s="221">
        <f t="shared" si="1"/>
        <v>0</v>
      </c>
      <c r="Y52" s="221">
        <f>IF(COUNTIF($C:$C,$X52)&gt;0,1,0)+IF(OR(COUNTIFS($C:$C,$X52,$D:$D,判定!$L$2)&gt;0,COUNTIFS($C:$C,$X52,$D:$D,判定!$L$3)&gt;0,COUNTIFS($C:$C,$X52,$D:$D,判定!$L$4)&gt;0),1,0)+IF(COUNTIFS($C:$C,$X52,$D:$D,判定!$L$7)&gt;0,1,0)+IF(COUNTIFS($C:$C,$X52,$D:$D,判定!$L$8)&gt;0,1,0)+IF(COUNTIFS($C:$C,$X52,$D:$D,判定!$L$9)&gt;0,1,0)</f>
        <v>0</v>
      </c>
      <c r="Z52" s="221" t="str">
        <f>IF(Y52&gt;0,Y52*100+COUNTIF($Y$15:Y52,Y52),"")</f>
        <v/>
      </c>
      <c r="AA52" s="221" t="e">
        <f t="shared" si="2"/>
        <v>#NUM!</v>
      </c>
      <c r="AB52" s="226"/>
      <c r="AC52" s="226"/>
      <c r="AD52" s="226"/>
      <c r="AE52" s="226"/>
      <c r="AF52" s="226"/>
    </row>
    <row r="53" spans="1:32" s="239" customFormat="1" x14ac:dyDescent="0.2">
      <c r="A53" s="221" t="str">
        <f>IF($D53="","",COUNTA($D$15:$D53))</f>
        <v/>
      </c>
      <c r="B53" s="238"/>
      <c r="C53" s="238"/>
      <c r="D53" s="238"/>
      <c r="E53" s="337"/>
      <c r="F53" s="337"/>
      <c r="G53" s="337"/>
      <c r="H53" s="338"/>
      <c r="I53" s="339" t="str">
        <f t="shared" si="0"/>
        <v/>
      </c>
      <c r="J53" s="236" t="str">
        <f ca="1">IFERROR(VLOOKUP($G53,INDIRECT("判定!"&amp;ADDRESS(ROW(判定!$N$2)+1,COLUMN(判定!$N$2)+MATCH($D53,判定!$N$2:$W$2,0)-1,4,1)&amp;":"&amp;ADDRESS(ROW(判定!$O$2)+4,COLUMN(判定!$N$2)+MATCH($D53,判定!$N$2:$W$2,0),4,1),1),2,1),"")</f>
        <v/>
      </c>
      <c r="K53" s="342"/>
      <c r="L53" s="343"/>
      <c r="M53" s="332"/>
      <c r="N53" s="332"/>
      <c r="O53" s="333"/>
      <c r="P53" s="237"/>
      <c r="Q53" s="234" t="str">
        <f>IF(COUNTIF(判定!$L$2:$L$9,$D53)&gt;0,$P53,"")</f>
        <v/>
      </c>
      <c r="R53" s="234" t="str">
        <f>IF(COUNTIF(判定!$L$10:$L$20,$D53)&gt;0,$P53,"")</f>
        <v/>
      </c>
      <c r="S53" s="234" t="str">
        <f>IF(COUNTIF(判定!$L$21,$D53)&gt;0,$P53,"")</f>
        <v/>
      </c>
      <c r="T53" s="343"/>
      <c r="V53" s="240"/>
      <c r="W53" s="221" t="str">
        <f>IF(OR($C53=判定!$K$2,$C53=判定!$K$3,$C53=判定!$K$4,$C53=判定!$K$5),"",IF(COUNTIF($C$15:$C53,$C53)=1,ROW(),""))</f>
        <v/>
      </c>
      <c r="X53" s="221">
        <f t="shared" si="1"/>
        <v>0</v>
      </c>
      <c r="Y53" s="221">
        <f>IF(COUNTIF($C:$C,$X53)&gt;0,1,0)+IF(OR(COUNTIFS($C:$C,$X53,$D:$D,判定!$L$2)&gt;0,COUNTIFS($C:$C,$X53,$D:$D,判定!$L$3)&gt;0,COUNTIFS($C:$C,$X53,$D:$D,判定!$L$4)&gt;0),1,0)+IF(COUNTIFS($C:$C,$X53,$D:$D,判定!$L$7)&gt;0,1,0)+IF(COUNTIFS($C:$C,$X53,$D:$D,判定!$L$8)&gt;0,1,0)+IF(COUNTIFS($C:$C,$X53,$D:$D,判定!$L$9)&gt;0,1,0)</f>
        <v>0</v>
      </c>
      <c r="Z53" s="221" t="str">
        <f>IF(Y53&gt;0,Y53*100+COUNTIF($Y$15:Y53,Y53),"")</f>
        <v/>
      </c>
      <c r="AA53" s="221" t="e">
        <f t="shared" si="2"/>
        <v>#NUM!</v>
      </c>
      <c r="AB53" s="240"/>
      <c r="AC53" s="240"/>
      <c r="AD53" s="240"/>
      <c r="AE53" s="240"/>
      <c r="AF53" s="240"/>
    </row>
    <row r="54" spans="1:32" x14ac:dyDescent="0.2">
      <c r="A54" s="221" t="str">
        <f>IF($D54="","",COUNTA($D$15:$D54))</f>
        <v/>
      </c>
      <c r="B54" s="235"/>
      <c r="C54" s="235"/>
      <c r="D54" s="235"/>
      <c r="E54" s="337"/>
      <c r="F54" s="337"/>
      <c r="G54" s="337"/>
      <c r="H54" s="338"/>
      <c r="I54" s="339" t="str">
        <f t="shared" si="0"/>
        <v/>
      </c>
      <c r="J54" s="236" t="str">
        <f ca="1">IFERROR(VLOOKUP($G54,INDIRECT("判定!"&amp;ADDRESS(ROW(判定!$N$2)+1,COLUMN(判定!$N$2)+MATCH($D54,判定!$N$2:$W$2,0)-1,4,1)&amp;":"&amp;ADDRESS(ROW(判定!$O$2)+4,COLUMN(判定!$N$2)+MATCH($D54,判定!$N$2:$W$2,0),4,1),1),2,1),"")</f>
        <v/>
      </c>
      <c r="K54" s="340"/>
      <c r="L54" s="341"/>
      <c r="M54" s="330"/>
      <c r="N54" s="330"/>
      <c r="O54" s="331"/>
      <c r="P54" s="237"/>
      <c r="Q54" s="234" t="str">
        <f>IF(COUNTIF(判定!$L$2:$L$9,$D54)&gt;0,$P54,"")</f>
        <v/>
      </c>
      <c r="R54" s="234" t="str">
        <f>IF(COUNTIF(判定!$L$10:$L$20,$D54)&gt;0,$P54,"")</f>
        <v/>
      </c>
      <c r="S54" s="234" t="str">
        <f>IF(COUNTIF(判定!$L$21,$D54)&gt;0,$P54,"")</f>
        <v/>
      </c>
      <c r="T54" s="341"/>
      <c r="V54" s="226"/>
      <c r="W54" s="221" t="str">
        <f>IF(OR($C54=判定!$K$2,$C54=判定!$K$3,$C54=判定!$K$4,$C54=判定!$K$5),"",IF(COUNTIF($C$15:$C54,$C54)=1,ROW(),""))</f>
        <v/>
      </c>
      <c r="X54" s="221">
        <f t="shared" si="1"/>
        <v>0</v>
      </c>
      <c r="Y54" s="221">
        <f>IF(COUNTIF($C:$C,$X54)&gt;0,1,0)+IF(OR(COUNTIFS($C:$C,$X54,$D:$D,判定!$L$2)&gt;0,COUNTIFS($C:$C,$X54,$D:$D,判定!$L$3)&gt;0,COUNTIFS($C:$C,$X54,$D:$D,判定!$L$4)&gt;0),1,0)+IF(COUNTIFS($C:$C,$X54,$D:$D,判定!$L$7)&gt;0,1,0)+IF(COUNTIFS($C:$C,$X54,$D:$D,判定!$L$8)&gt;0,1,0)+IF(COUNTIFS($C:$C,$X54,$D:$D,判定!$L$9)&gt;0,1,0)</f>
        <v>0</v>
      </c>
      <c r="Z54" s="221" t="str">
        <f>IF(Y54&gt;0,Y54*100+COUNTIF($Y$15:Y54,Y54),"")</f>
        <v/>
      </c>
      <c r="AA54" s="221" t="e">
        <f t="shared" si="2"/>
        <v>#NUM!</v>
      </c>
      <c r="AB54" s="226"/>
      <c r="AC54" s="226"/>
      <c r="AD54" s="226"/>
      <c r="AE54" s="226"/>
      <c r="AF54" s="226"/>
    </row>
    <row r="55" spans="1:32" x14ac:dyDescent="0.2">
      <c r="A55" s="221" t="str">
        <f>IF($D55="","",COUNTA($D$15:$D55))</f>
        <v/>
      </c>
      <c r="B55" s="235"/>
      <c r="C55" s="235"/>
      <c r="D55" s="235"/>
      <c r="E55" s="337"/>
      <c r="F55" s="337"/>
      <c r="G55" s="337"/>
      <c r="H55" s="338"/>
      <c r="I55" s="339" t="str">
        <f t="shared" si="0"/>
        <v/>
      </c>
      <c r="J55" s="236" t="str">
        <f ca="1">IFERROR(VLOOKUP($G55,INDIRECT("判定!"&amp;ADDRESS(ROW(判定!$N$2)+1,COLUMN(判定!$N$2)+MATCH($D55,判定!$N$2:$W$2,0)-1,4,1)&amp;":"&amp;ADDRESS(ROW(判定!$O$2)+4,COLUMN(判定!$N$2)+MATCH($D55,判定!$N$2:$W$2,0),4,1),1),2,1),"")</f>
        <v/>
      </c>
      <c r="K55" s="340"/>
      <c r="L55" s="341"/>
      <c r="M55" s="330"/>
      <c r="N55" s="330"/>
      <c r="O55" s="331"/>
      <c r="P55" s="237"/>
      <c r="Q55" s="234" t="str">
        <f>IF(COUNTIF(判定!$L$2:$L$9,$D55)&gt;0,$P55,"")</f>
        <v/>
      </c>
      <c r="R55" s="234" t="str">
        <f>IF(COUNTIF(判定!$L$10:$L$20,$D55)&gt;0,$P55,"")</f>
        <v/>
      </c>
      <c r="S55" s="234" t="str">
        <f>IF(COUNTIF(判定!$L$21,$D55)&gt;0,$P55,"")</f>
        <v/>
      </c>
      <c r="T55" s="341"/>
      <c r="V55" s="226"/>
      <c r="W55" s="221" t="str">
        <f>IF(OR($C55=判定!$K$2,$C55=判定!$K$3,$C55=判定!$K$4,$C55=判定!$K$5),"",IF(COUNTIF($C$15:$C55,$C55)=1,ROW(),""))</f>
        <v/>
      </c>
      <c r="X55" s="221">
        <f t="shared" si="1"/>
        <v>0</v>
      </c>
      <c r="Y55" s="221">
        <f>IF(COUNTIF($C:$C,$X55)&gt;0,1,0)+IF(OR(COUNTIFS($C:$C,$X55,$D:$D,判定!$L$2)&gt;0,COUNTIFS($C:$C,$X55,$D:$D,判定!$L$3)&gt;0,COUNTIFS($C:$C,$X55,$D:$D,判定!$L$4)&gt;0),1,0)+IF(COUNTIFS($C:$C,$X55,$D:$D,判定!$L$7)&gt;0,1,0)+IF(COUNTIFS($C:$C,$X55,$D:$D,判定!$L$8)&gt;0,1,0)+IF(COUNTIFS($C:$C,$X55,$D:$D,判定!$L$9)&gt;0,1,0)</f>
        <v>0</v>
      </c>
      <c r="Z55" s="221" t="str">
        <f>IF(Y55&gt;0,Y55*100+COUNTIF($Y$15:Y55,Y55),"")</f>
        <v/>
      </c>
      <c r="AA55" s="221" t="e">
        <f t="shared" si="2"/>
        <v>#NUM!</v>
      </c>
      <c r="AB55" s="226"/>
      <c r="AC55" s="226"/>
      <c r="AD55" s="226"/>
      <c r="AE55" s="226"/>
      <c r="AF55" s="226"/>
    </row>
    <row r="56" spans="1:32" x14ac:dyDescent="0.2">
      <c r="A56" s="221" t="str">
        <f>IF($D56="","",COUNTA($D$15:$D56))</f>
        <v/>
      </c>
      <c r="B56" s="235"/>
      <c r="C56" s="235"/>
      <c r="D56" s="235"/>
      <c r="E56" s="337"/>
      <c r="F56" s="337"/>
      <c r="G56" s="337"/>
      <c r="H56" s="338"/>
      <c r="I56" s="339" t="str">
        <f t="shared" si="0"/>
        <v/>
      </c>
      <c r="J56" s="236" t="str">
        <f ca="1">IFERROR(VLOOKUP($G56,INDIRECT("判定!"&amp;ADDRESS(ROW(判定!$N$2)+1,COLUMN(判定!$N$2)+MATCH($D56,判定!$N$2:$W$2,0)-1,4,1)&amp;":"&amp;ADDRESS(ROW(判定!$O$2)+4,COLUMN(判定!$N$2)+MATCH($D56,判定!$N$2:$W$2,0),4,1),1),2,1),"")</f>
        <v/>
      </c>
      <c r="K56" s="340"/>
      <c r="L56" s="341"/>
      <c r="M56" s="330"/>
      <c r="N56" s="330"/>
      <c r="O56" s="331"/>
      <c r="P56" s="237"/>
      <c r="Q56" s="234" t="str">
        <f>IF(COUNTIF(判定!$L$2:$L$9,$D56)&gt;0,$P56,"")</f>
        <v/>
      </c>
      <c r="R56" s="234" t="str">
        <f>IF(COUNTIF(判定!$L$10:$L$20,$D56)&gt;0,$P56,"")</f>
        <v/>
      </c>
      <c r="S56" s="234" t="str">
        <f>IF(COUNTIF(判定!$L$21,$D56)&gt;0,$P56,"")</f>
        <v/>
      </c>
      <c r="T56" s="341"/>
      <c r="V56" s="226"/>
      <c r="W56" s="221" t="str">
        <f>IF(OR($C56=判定!$K$2,$C56=判定!$K$3,$C56=判定!$K$4,$C56=判定!$K$5),"",IF(COUNTIF($C$15:$C56,$C56)=1,ROW(),""))</f>
        <v/>
      </c>
      <c r="X56" s="221">
        <f t="shared" si="1"/>
        <v>0</v>
      </c>
      <c r="Y56" s="221">
        <f>IF(COUNTIF($C:$C,$X56)&gt;0,1,0)+IF(OR(COUNTIFS($C:$C,$X56,$D:$D,判定!$L$2)&gt;0,COUNTIFS($C:$C,$X56,$D:$D,判定!$L$3)&gt;0,COUNTIFS($C:$C,$X56,$D:$D,判定!$L$4)&gt;0),1,0)+IF(COUNTIFS($C:$C,$X56,$D:$D,判定!$L$7)&gt;0,1,0)+IF(COUNTIFS($C:$C,$X56,$D:$D,判定!$L$8)&gt;0,1,0)+IF(COUNTIFS($C:$C,$X56,$D:$D,判定!$L$9)&gt;0,1,0)</f>
        <v>0</v>
      </c>
      <c r="Z56" s="221" t="str">
        <f>IF(Y56&gt;0,Y56*100+COUNTIF($Y$15:Y56,Y56),"")</f>
        <v/>
      </c>
      <c r="AA56" s="221" t="e">
        <f t="shared" si="2"/>
        <v>#NUM!</v>
      </c>
      <c r="AB56" s="226"/>
      <c r="AC56" s="226"/>
      <c r="AD56" s="226"/>
      <c r="AE56" s="226"/>
      <c r="AF56" s="226"/>
    </row>
    <row r="57" spans="1:32" x14ac:dyDescent="0.2">
      <c r="A57" s="221" t="str">
        <f>IF($D57="","",COUNTA($D$15:$D57))</f>
        <v/>
      </c>
      <c r="B57" s="235"/>
      <c r="C57" s="235"/>
      <c r="D57" s="235"/>
      <c r="E57" s="337"/>
      <c r="F57" s="337"/>
      <c r="G57" s="337"/>
      <c r="H57" s="338"/>
      <c r="I57" s="339" t="str">
        <f t="shared" si="0"/>
        <v/>
      </c>
      <c r="J57" s="236" t="str">
        <f ca="1">IFERROR(VLOOKUP($G57,INDIRECT("判定!"&amp;ADDRESS(ROW(判定!$N$2)+1,COLUMN(判定!$N$2)+MATCH($D57,判定!$N$2:$W$2,0)-1,4,1)&amp;":"&amp;ADDRESS(ROW(判定!$O$2)+4,COLUMN(判定!$N$2)+MATCH($D57,判定!$N$2:$W$2,0),4,1),1),2,1),"")</f>
        <v/>
      </c>
      <c r="K57" s="340"/>
      <c r="L57" s="341"/>
      <c r="M57" s="330"/>
      <c r="N57" s="330"/>
      <c r="O57" s="331"/>
      <c r="P57" s="237"/>
      <c r="Q57" s="234" t="str">
        <f>IF(COUNTIF(判定!$L$2:$L$9,$D57)&gt;0,$P57,"")</f>
        <v/>
      </c>
      <c r="R57" s="234" t="str">
        <f>IF(COUNTIF(判定!$L$10:$L$20,$D57)&gt;0,$P57,"")</f>
        <v/>
      </c>
      <c r="S57" s="234" t="str">
        <f>IF(COUNTIF(判定!$L$21,$D57)&gt;0,$P57,"")</f>
        <v/>
      </c>
      <c r="T57" s="341"/>
      <c r="V57" s="226"/>
      <c r="W57" s="221" t="str">
        <f>IF(OR($C57=判定!$K$2,$C57=判定!$K$3,$C57=判定!$K$4,$C57=判定!$K$5),"",IF(COUNTIF($C$15:$C57,$C57)=1,ROW(),""))</f>
        <v/>
      </c>
      <c r="X57" s="221">
        <f t="shared" si="1"/>
        <v>0</v>
      </c>
      <c r="Y57" s="221">
        <f>IF(COUNTIF($C:$C,$X57)&gt;0,1,0)+IF(OR(COUNTIFS($C:$C,$X57,$D:$D,判定!$L$2)&gt;0,COUNTIFS($C:$C,$X57,$D:$D,判定!$L$3)&gt;0,COUNTIFS($C:$C,$X57,$D:$D,判定!$L$4)&gt;0),1,0)+IF(COUNTIFS($C:$C,$X57,$D:$D,判定!$L$7)&gt;0,1,0)+IF(COUNTIFS($C:$C,$X57,$D:$D,判定!$L$8)&gt;0,1,0)+IF(COUNTIFS($C:$C,$X57,$D:$D,判定!$L$9)&gt;0,1,0)</f>
        <v>0</v>
      </c>
      <c r="Z57" s="221" t="str">
        <f>IF(Y57&gt;0,Y57*100+COUNTIF($Y$15:Y57,Y57),"")</f>
        <v/>
      </c>
      <c r="AA57" s="221" t="e">
        <f t="shared" si="2"/>
        <v>#NUM!</v>
      </c>
      <c r="AB57" s="226"/>
      <c r="AC57" s="226"/>
      <c r="AD57" s="226"/>
      <c r="AE57" s="226"/>
      <c r="AF57" s="226"/>
    </row>
    <row r="58" spans="1:32" x14ac:dyDescent="0.2">
      <c r="A58" s="221" t="str">
        <f>IF($D58="","",COUNTA($D$15:$D58))</f>
        <v/>
      </c>
      <c r="B58" s="235"/>
      <c r="C58" s="235"/>
      <c r="D58" s="235"/>
      <c r="E58" s="337"/>
      <c r="F58" s="337"/>
      <c r="G58" s="337"/>
      <c r="H58" s="338"/>
      <c r="I58" s="339" t="str">
        <f t="shared" si="0"/>
        <v/>
      </c>
      <c r="J58" s="236" t="str">
        <f ca="1">IFERROR(VLOOKUP($G58,INDIRECT("判定!"&amp;ADDRESS(ROW(判定!$N$2)+1,COLUMN(判定!$N$2)+MATCH($D58,判定!$N$2:$W$2,0)-1,4,1)&amp;":"&amp;ADDRESS(ROW(判定!$O$2)+4,COLUMN(判定!$N$2)+MATCH($D58,判定!$N$2:$W$2,0),4,1),1),2,1),"")</f>
        <v/>
      </c>
      <c r="K58" s="340"/>
      <c r="L58" s="341"/>
      <c r="M58" s="330"/>
      <c r="N58" s="330"/>
      <c r="O58" s="331"/>
      <c r="P58" s="237"/>
      <c r="Q58" s="234" t="str">
        <f>IF(COUNTIF(判定!$L$2:$L$9,$D58)&gt;0,$P58,"")</f>
        <v/>
      </c>
      <c r="R58" s="234" t="str">
        <f>IF(COUNTIF(判定!$L$10:$L$20,$D58)&gt;0,$P58,"")</f>
        <v/>
      </c>
      <c r="S58" s="234" t="str">
        <f>IF(COUNTIF(判定!$L$21,$D58)&gt;0,$P58,"")</f>
        <v/>
      </c>
      <c r="T58" s="341"/>
      <c r="V58" s="226"/>
      <c r="W58" s="221" t="str">
        <f>IF(OR($C58=判定!$K$2,$C58=判定!$K$3,$C58=判定!$K$4,$C58=判定!$K$5),"",IF(COUNTIF($C$15:$C58,$C58)=1,ROW(),""))</f>
        <v/>
      </c>
      <c r="X58" s="221">
        <f t="shared" si="1"/>
        <v>0</v>
      </c>
      <c r="Y58" s="221">
        <f>IF(COUNTIF($C:$C,$X58)&gt;0,1,0)+IF(OR(COUNTIFS($C:$C,$X58,$D:$D,判定!$L$2)&gt;0,COUNTIFS($C:$C,$X58,$D:$D,判定!$L$3)&gt;0,COUNTIFS($C:$C,$X58,$D:$D,判定!$L$4)&gt;0),1,0)+IF(COUNTIFS($C:$C,$X58,$D:$D,判定!$L$7)&gt;0,1,0)+IF(COUNTIFS($C:$C,$X58,$D:$D,判定!$L$8)&gt;0,1,0)+IF(COUNTIFS($C:$C,$X58,$D:$D,判定!$L$9)&gt;0,1,0)</f>
        <v>0</v>
      </c>
      <c r="Z58" s="221" t="str">
        <f>IF(Y58&gt;0,Y58*100+COUNTIF($Y$15:Y58,Y58),"")</f>
        <v/>
      </c>
      <c r="AA58" s="221" t="e">
        <f t="shared" si="2"/>
        <v>#NUM!</v>
      </c>
      <c r="AB58" s="226"/>
      <c r="AC58" s="226"/>
      <c r="AD58" s="226"/>
      <c r="AE58" s="226"/>
      <c r="AF58" s="226"/>
    </row>
    <row r="59" spans="1:32" x14ac:dyDescent="0.2">
      <c r="A59" s="221" t="str">
        <f>IF($D59="","",COUNTA($D$15:$D59))</f>
        <v/>
      </c>
      <c r="B59" s="235"/>
      <c r="C59" s="235"/>
      <c r="D59" s="235"/>
      <c r="E59" s="337"/>
      <c r="F59" s="337"/>
      <c r="G59" s="337"/>
      <c r="H59" s="338"/>
      <c r="I59" s="339" t="str">
        <f t="shared" si="0"/>
        <v/>
      </c>
      <c r="J59" s="236" t="str">
        <f ca="1">IFERROR(VLOOKUP($G59,INDIRECT("判定!"&amp;ADDRESS(ROW(判定!$N$2)+1,COLUMN(判定!$N$2)+MATCH($D59,判定!$N$2:$W$2,0)-1,4,1)&amp;":"&amp;ADDRESS(ROW(判定!$O$2)+4,COLUMN(判定!$N$2)+MATCH($D59,判定!$N$2:$W$2,0),4,1),1),2,1),"")</f>
        <v/>
      </c>
      <c r="K59" s="340"/>
      <c r="L59" s="341"/>
      <c r="M59" s="330"/>
      <c r="N59" s="330"/>
      <c r="O59" s="331"/>
      <c r="P59" s="237"/>
      <c r="Q59" s="234" t="str">
        <f>IF(COUNTIF(判定!$L$2:$L$9,$D59)&gt;0,$P59,"")</f>
        <v/>
      </c>
      <c r="R59" s="234" t="str">
        <f>IF(COUNTIF(判定!$L$10:$L$20,$D59)&gt;0,$P59,"")</f>
        <v/>
      </c>
      <c r="S59" s="234" t="str">
        <f>IF(COUNTIF(判定!$L$21,$D59)&gt;0,$P59,"")</f>
        <v/>
      </c>
      <c r="T59" s="341"/>
      <c r="V59" s="226"/>
      <c r="W59" s="221" t="str">
        <f>IF(OR($C59=判定!$K$2,$C59=判定!$K$3,$C59=判定!$K$4,$C59=判定!$K$5),"",IF(COUNTIF($C$15:$C59,$C59)=1,ROW(),""))</f>
        <v/>
      </c>
      <c r="X59" s="221">
        <f t="shared" si="1"/>
        <v>0</v>
      </c>
      <c r="Y59" s="221">
        <f>IF(COUNTIF($C:$C,$X59)&gt;0,1,0)+IF(OR(COUNTIFS($C:$C,$X59,$D:$D,判定!$L$2)&gt;0,COUNTIFS($C:$C,$X59,$D:$D,判定!$L$3)&gt;0,COUNTIFS($C:$C,$X59,$D:$D,判定!$L$4)&gt;0),1,0)+IF(COUNTIFS($C:$C,$X59,$D:$D,判定!$L$7)&gt;0,1,0)+IF(COUNTIFS($C:$C,$X59,$D:$D,判定!$L$8)&gt;0,1,0)+IF(COUNTIFS($C:$C,$X59,$D:$D,判定!$L$9)&gt;0,1,0)</f>
        <v>0</v>
      </c>
      <c r="Z59" s="221" t="str">
        <f>IF(Y59&gt;0,Y59*100+COUNTIF($Y$15:Y59,Y59),"")</f>
        <v/>
      </c>
      <c r="AA59" s="221" t="e">
        <f t="shared" si="2"/>
        <v>#NUM!</v>
      </c>
      <c r="AB59" s="226"/>
      <c r="AC59" s="226"/>
      <c r="AD59" s="226"/>
      <c r="AE59" s="226"/>
      <c r="AF59" s="226"/>
    </row>
    <row r="60" spans="1:32" x14ac:dyDescent="0.2">
      <c r="A60" s="221" t="str">
        <f>IF($D60="","",COUNTA($D$15:$D60))</f>
        <v/>
      </c>
      <c r="B60" s="235"/>
      <c r="C60" s="235"/>
      <c r="D60" s="235"/>
      <c r="E60" s="337"/>
      <c r="F60" s="337"/>
      <c r="G60" s="337"/>
      <c r="H60" s="338"/>
      <c r="I60" s="339" t="str">
        <f t="shared" si="0"/>
        <v/>
      </c>
      <c r="J60" s="236" t="str">
        <f ca="1">IFERROR(VLOOKUP($G60,INDIRECT("判定!"&amp;ADDRESS(ROW(判定!$N$2)+1,COLUMN(判定!$N$2)+MATCH($D60,判定!$N$2:$W$2,0)-1,4,1)&amp;":"&amp;ADDRESS(ROW(判定!$O$2)+4,COLUMN(判定!$N$2)+MATCH($D60,判定!$N$2:$W$2,0),4,1),1),2,1),"")</f>
        <v/>
      </c>
      <c r="K60" s="340"/>
      <c r="L60" s="341"/>
      <c r="M60" s="330"/>
      <c r="N60" s="330"/>
      <c r="O60" s="331"/>
      <c r="P60" s="237"/>
      <c r="Q60" s="234" t="str">
        <f>IF(COUNTIF(判定!$L$2:$L$9,$D60)&gt;0,$P60,"")</f>
        <v/>
      </c>
      <c r="R60" s="234" t="str">
        <f>IF(COUNTIF(判定!$L$10:$L$20,$D60)&gt;0,$P60,"")</f>
        <v/>
      </c>
      <c r="S60" s="234" t="str">
        <f>IF(COUNTIF(判定!$L$21,$D60)&gt;0,$P60,"")</f>
        <v/>
      </c>
      <c r="T60" s="341"/>
      <c r="V60" s="226"/>
      <c r="W60" s="221" t="str">
        <f>IF(OR($C60=判定!$K$2,$C60=判定!$K$3,$C60=判定!$K$4,$C60=判定!$K$5),"",IF(COUNTIF($C$15:$C60,$C60)=1,ROW(),""))</f>
        <v/>
      </c>
      <c r="X60" s="221">
        <f t="shared" si="1"/>
        <v>0</v>
      </c>
      <c r="Y60" s="221">
        <f>IF(COUNTIF($C:$C,$X60)&gt;0,1,0)+IF(OR(COUNTIFS($C:$C,$X60,$D:$D,判定!$L$2)&gt;0,COUNTIFS($C:$C,$X60,$D:$D,判定!$L$3)&gt;0,COUNTIFS($C:$C,$X60,$D:$D,判定!$L$4)&gt;0),1,0)+IF(COUNTIFS($C:$C,$X60,$D:$D,判定!$L$7)&gt;0,1,0)+IF(COUNTIFS($C:$C,$X60,$D:$D,判定!$L$8)&gt;0,1,0)+IF(COUNTIFS($C:$C,$X60,$D:$D,判定!$L$9)&gt;0,1,0)</f>
        <v>0</v>
      </c>
      <c r="Z60" s="221" t="str">
        <f>IF(Y60&gt;0,Y60*100+COUNTIF($Y$15:Y60,Y60),"")</f>
        <v/>
      </c>
      <c r="AA60" s="221" t="e">
        <f t="shared" si="2"/>
        <v>#NUM!</v>
      </c>
      <c r="AB60" s="226"/>
      <c r="AC60" s="226"/>
      <c r="AD60" s="226"/>
      <c r="AE60" s="226"/>
      <c r="AF60" s="226"/>
    </row>
    <row r="61" spans="1:32" x14ac:dyDescent="0.2">
      <c r="A61" s="221" t="str">
        <f>IF($D61="","",COUNTA($D$15:$D61))</f>
        <v/>
      </c>
      <c r="B61" s="235"/>
      <c r="C61" s="235"/>
      <c r="D61" s="235"/>
      <c r="E61" s="337"/>
      <c r="F61" s="337"/>
      <c r="G61" s="337"/>
      <c r="H61" s="338"/>
      <c r="I61" s="339" t="str">
        <f t="shared" si="0"/>
        <v/>
      </c>
      <c r="J61" s="236" t="str">
        <f ca="1">IFERROR(VLOOKUP($G61,INDIRECT("判定!"&amp;ADDRESS(ROW(判定!$N$2)+1,COLUMN(判定!$N$2)+MATCH($D61,判定!$N$2:$W$2,0)-1,4,1)&amp;":"&amp;ADDRESS(ROW(判定!$O$2)+4,COLUMN(判定!$N$2)+MATCH($D61,判定!$N$2:$W$2,0),4,1),1),2,1),"")</f>
        <v/>
      </c>
      <c r="K61" s="340"/>
      <c r="L61" s="341"/>
      <c r="M61" s="330"/>
      <c r="N61" s="330"/>
      <c r="O61" s="331"/>
      <c r="P61" s="237"/>
      <c r="Q61" s="234" t="str">
        <f>IF(COUNTIF(判定!$L$2:$L$9,$D61)&gt;0,$P61,"")</f>
        <v/>
      </c>
      <c r="R61" s="234" t="str">
        <f>IF(COUNTIF(判定!$L$10:$L$20,$D61)&gt;0,$P61,"")</f>
        <v/>
      </c>
      <c r="S61" s="234" t="str">
        <f>IF(COUNTIF(判定!$L$21,$D61)&gt;0,$P61,"")</f>
        <v/>
      </c>
      <c r="T61" s="341"/>
      <c r="V61" s="226"/>
      <c r="W61" s="221" t="str">
        <f>IF(OR($C61=判定!$K$2,$C61=判定!$K$3,$C61=判定!$K$4,$C61=判定!$K$5),"",IF(COUNTIF($C$15:$C61,$C61)=1,ROW(),""))</f>
        <v/>
      </c>
      <c r="X61" s="221">
        <f t="shared" si="1"/>
        <v>0</v>
      </c>
      <c r="Y61" s="221">
        <f>IF(COUNTIF($C:$C,$X61)&gt;0,1,0)+IF(OR(COUNTIFS($C:$C,$X61,$D:$D,判定!$L$2)&gt;0,COUNTIFS($C:$C,$X61,$D:$D,判定!$L$3)&gt;0,COUNTIFS($C:$C,$X61,$D:$D,判定!$L$4)&gt;0),1,0)+IF(COUNTIFS($C:$C,$X61,$D:$D,判定!$L$7)&gt;0,1,0)+IF(COUNTIFS($C:$C,$X61,$D:$D,判定!$L$8)&gt;0,1,0)+IF(COUNTIFS($C:$C,$X61,$D:$D,判定!$L$9)&gt;0,1,0)</f>
        <v>0</v>
      </c>
      <c r="Z61" s="221" t="str">
        <f>IF(Y61&gt;0,Y61*100+COUNTIF($Y$15:Y61,Y61),"")</f>
        <v/>
      </c>
      <c r="AA61" s="221" t="e">
        <f t="shared" si="2"/>
        <v>#NUM!</v>
      </c>
      <c r="AB61" s="226"/>
      <c r="AC61" s="226"/>
      <c r="AD61" s="226"/>
      <c r="AE61" s="226"/>
      <c r="AF61" s="226"/>
    </row>
    <row r="62" spans="1:32" x14ac:dyDescent="0.2">
      <c r="A62" s="221" t="str">
        <f>IF($D62="","",COUNTA($D$15:$D62))</f>
        <v/>
      </c>
      <c r="B62" s="235"/>
      <c r="C62" s="235"/>
      <c r="D62" s="235"/>
      <c r="E62" s="337"/>
      <c r="F62" s="337"/>
      <c r="G62" s="337"/>
      <c r="H62" s="338"/>
      <c r="I62" s="339" t="str">
        <f t="shared" si="0"/>
        <v/>
      </c>
      <c r="J62" s="236" t="str">
        <f ca="1">IFERROR(VLOOKUP($G62,INDIRECT("判定!"&amp;ADDRESS(ROW(判定!$N$2)+1,COLUMN(判定!$N$2)+MATCH($D62,判定!$N$2:$W$2,0)-1,4,1)&amp;":"&amp;ADDRESS(ROW(判定!$O$2)+4,COLUMN(判定!$N$2)+MATCH($D62,判定!$N$2:$W$2,0),4,1),1),2,1),"")</f>
        <v/>
      </c>
      <c r="K62" s="340"/>
      <c r="L62" s="341"/>
      <c r="M62" s="330"/>
      <c r="N62" s="330"/>
      <c r="O62" s="331"/>
      <c r="P62" s="237"/>
      <c r="Q62" s="234" t="str">
        <f>IF(COUNTIF(判定!$L$2:$L$9,$D62)&gt;0,$P62,"")</f>
        <v/>
      </c>
      <c r="R62" s="234" t="str">
        <f>IF(COUNTIF(判定!$L$10:$L$20,$D62)&gt;0,$P62,"")</f>
        <v/>
      </c>
      <c r="S62" s="234" t="str">
        <f>IF(COUNTIF(判定!$L$21,$D62)&gt;0,$P62,"")</f>
        <v/>
      </c>
      <c r="T62" s="341"/>
      <c r="V62" s="226"/>
      <c r="W62" s="221" t="str">
        <f>IF(OR($C62=判定!$K$2,$C62=判定!$K$3,$C62=判定!$K$4,$C62=判定!$K$5),"",IF(COUNTIF($C$15:$C62,$C62)=1,ROW(),""))</f>
        <v/>
      </c>
      <c r="X62" s="221">
        <f t="shared" si="1"/>
        <v>0</v>
      </c>
      <c r="Y62" s="221">
        <f>IF(COUNTIF($C:$C,$X62)&gt;0,1,0)+IF(OR(COUNTIFS($C:$C,$X62,$D:$D,判定!$L$2)&gt;0,COUNTIFS($C:$C,$X62,$D:$D,判定!$L$3)&gt;0,COUNTIFS($C:$C,$X62,$D:$D,判定!$L$4)&gt;0),1,0)+IF(COUNTIFS($C:$C,$X62,$D:$D,判定!$L$7)&gt;0,1,0)+IF(COUNTIFS($C:$C,$X62,$D:$D,判定!$L$8)&gt;0,1,0)+IF(COUNTIFS($C:$C,$X62,$D:$D,判定!$L$9)&gt;0,1,0)</f>
        <v>0</v>
      </c>
      <c r="Z62" s="221" t="str">
        <f>IF(Y62&gt;0,Y62*100+COUNTIF($Y$15:Y62,Y62),"")</f>
        <v/>
      </c>
      <c r="AA62" s="221" t="e">
        <f t="shared" si="2"/>
        <v>#NUM!</v>
      </c>
      <c r="AB62" s="226"/>
      <c r="AC62" s="226"/>
      <c r="AD62" s="226"/>
      <c r="AE62" s="226"/>
      <c r="AF62" s="226"/>
    </row>
    <row r="63" spans="1:32" x14ac:dyDescent="0.2">
      <c r="A63" s="221" t="str">
        <f>IF($D63="","",COUNTA($D$15:$D63))</f>
        <v/>
      </c>
      <c r="B63" s="235"/>
      <c r="C63" s="235"/>
      <c r="D63" s="235"/>
      <c r="E63" s="337"/>
      <c r="F63" s="337"/>
      <c r="G63" s="337"/>
      <c r="H63" s="338"/>
      <c r="I63" s="339" t="str">
        <f t="shared" si="0"/>
        <v/>
      </c>
      <c r="J63" s="236" t="str">
        <f ca="1">IFERROR(VLOOKUP($G63,INDIRECT("判定!"&amp;ADDRESS(ROW(判定!$N$2)+1,COLUMN(判定!$N$2)+MATCH($D63,判定!$N$2:$W$2,0)-1,4,1)&amp;":"&amp;ADDRESS(ROW(判定!$O$2)+4,COLUMN(判定!$N$2)+MATCH($D63,判定!$N$2:$W$2,0),4,1),1),2,1),"")</f>
        <v/>
      </c>
      <c r="K63" s="340"/>
      <c r="L63" s="341"/>
      <c r="M63" s="330"/>
      <c r="N63" s="330"/>
      <c r="O63" s="331"/>
      <c r="P63" s="237"/>
      <c r="Q63" s="234" t="str">
        <f>IF(COUNTIF(判定!$L$2:$L$9,$D63)&gt;0,$P63,"")</f>
        <v/>
      </c>
      <c r="R63" s="234" t="str">
        <f>IF(COUNTIF(判定!$L$10:$L$20,$D63)&gt;0,$P63,"")</f>
        <v/>
      </c>
      <c r="S63" s="234" t="str">
        <f>IF(COUNTIF(判定!$L$21,$D63)&gt;0,$P63,"")</f>
        <v/>
      </c>
      <c r="T63" s="341"/>
      <c r="V63" s="226"/>
      <c r="W63" s="221" t="str">
        <f>IF(OR($C63=判定!$K$2,$C63=判定!$K$3,$C63=判定!$K$4,$C63=判定!$K$5),"",IF(COUNTIF($C$15:$C63,$C63)=1,ROW(),""))</f>
        <v/>
      </c>
      <c r="X63" s="221">
        <f t="shared" si="1"/>
        <v>0</v>
      </c>
      <c r="Y63" s="221">
        <f>IF(COUNTIF($C:$C,$X63)&gt;0,1,0)+IF(OR(COUNTIFS($C:$C,$X63,$D:$D,判定!$L$2)&gt;0,COUNTIFS($C:$C,$X63,$D:$D,判定!$L$3)&gt;0,COUNTIFS($C:$C,$X63,$D:$D,判定!$L$4)&gt;0),1,0)+IF(COUNTIFS($C:$C,$X63,$D:$D,判定!$L$7)&gt;0,1,0)+IF(COUNTIFS($C:$C,$X63,$D:$D,判定!$L$8)&gt;0,1,0)+IF(COUNTIFS($C:$C,$X63,$D:$D,判定!$L$9)&gt;0,1,0)</f>
        <v>0</v>
      </c>
      <c r="Z63" s="221" t="str">
        <f>IF(Y63&gt;0,Y63*100+COUNTIF($Y$15:Y63,Y63),"")</f>
        <v/>
      </c>
      <c r="AA63" s="221" t="e">
        <f t="shared" si="2"/>
        <v>#NUM!</v>
      </c>
      <c r="AB63" s="226"/>
      <c r="AC63" s="226"/>
      <c r="AD63" s="226"/>
      <c r="AE63" s="226"/>
      <c r="AF63" s="226"/>
    </row>
    <row r="64" spans="1:32" x14ac:dyDescent="0.2">
      <c r="A64" s="221" t="str">
        <f>IF($D64="","",COUNTA($D$15:$D64))</f>
        <v/>
      </c>
      <c r="B64" s="235"/>
      <c r="C64" s="235"/>
      <c r="D64" s="235"/>
      <c r="E64" s="337"/>
      <c r="F64" s="337"/>
      <c r="G64" s="337"/>
      <c r="H64" s="338"/>
      <c r="I64" s="339" t="str">
        <f t="shared" si="0"/>
        <v/>
      </c>
      <c r="J64" s="236" t="str">
        <f ca="1">IFERROR(VLOOKUP($G64,INDIRECT("判定!"&amp;ADDRESS(ROW(判定!$N$2)+1,COLUMN(判定!$N$2)+MATCH($D64,判定!$N$2:$W$2,0)-1,4,1)&amp;":"&amp;ADDRESS(ROW(判定!$O$2)+4,COLUMN(判定!$N$2)+MATCH($D64,判定!$N$2:$W$2,0),4,1),1),2,1),"")</f>
        <v/>
      </c>
      <c r="K64" s="340"/>
      <c r="L64" s="341"/>
      <c r="M64" s="330"/>
      <c r="N64" s="330"/>
      <c r="O64" s="331"/>
      <c r="P64" s="237"/>
      <c r="Q64" s="234" t="str">
        <f>IF(COUNTIF(判定!$L$2:$L$9,$D64)&gt;0,$P64,"")</f>
        <v/>
      </c>
      <c r="R64" s="234" t="str">
        <f>IF(COUNTIF(判定!$L$10:$L$20,$D64)&gt;0,$P64,"")</f>
        <v/>
      </c>
      <c r="S64" s="234" t="str">
        <f>IF(COUNTIF(判定!$L$21,$D64)&gt;0,$P64,"")</f>
        <v/>
      </c>
      <c r="T64" s="341"/>
      <c r="V64" s="226"/>
      <c r="W64" s="221" t="str">
        <f>IF(OR($C64=判定!$K$2,$C64=判定!$K$3,$C64=判定!$K$4,$C64=判定!$K$5),"",IF(COUNTIF($C$15:$C64,$C64)=1,ROW(),""))</f>
        <v/>
      </c>
      <c r="X64" s="221">
        <f t="shared" si="1"/>
        <v>0</v>
      </c>
      <c r="Y64" s="221">
        <f>IF(COUNTIF($C:$C,$X64)&gt;0,1,0)+IF(OR(COUNTIFS($C:$C,$X64,$D:$D,判定!$L$2)&gt;0,COUNTIFS($C:$C,$X64,$D:$D,判定!$L$3)&gt;0,COUNTIFS($C:$C,$X64,$D:$D,判定!$L$4)&gt;0),1,0)+IF(COUNTIFS($C:$C,$X64,$D:$D,判定!$L$7)&gt;0,1,0)+IF(COUNTIFS($C:$C,$X64,$D:$D,判定!$L$8)&gt;0,1,0)+IF(COUNTIFS($C:$C,$X64,$D:$D,判定!$L$9)&gt;0,1,0)</f>
        <v>0</v>
      </c>
      <c r="Z64" s="221" t="str">
        <f>IF(Y64&gt;0,Y64*100+COUNTIF($Y$15:Y64,Y64),"")</f>
        <v/>
      </c>
      <c r="AA64" s="221" t="e">
        <f t="shared" si="2"/>
        <v>#NUM!</v>
      </c>
      <c r="AB64" s="226"/>
      <c r="AC64" s="226"/>
      <c r="AD64" s="226"/>
      <c r="AE64" s="226"/>
      <c r="AF64" s="226"/>
    </row>
    <row r="65" spans="1:32" x14ac:dyDescent="0.2">
      <c r="A65" s="221" t="str">
        <f>IF($D65="","",COUNTA($D$15:$D65))</f>
        <v/>
      </c>
      <c r="B65" s="235"/>
      <c r="C65" s="235"/>
      <c r="D65" s="235"/>
      <c r="E65" s="337"/>
      <c r="F65" s="337"/>
      <c r="G65" s="337"/>
      <c r="H65" s="338"/>
      <c r="I65" s="339" t="str">
        <f t="shared" si="0"/>
        <v/>
      </c>
      <c r="J65" s="236" t="str">
        <f ca="1">IFERROR(VLOOKUP($G65,INDIRECT("判定!"&amp;ADDRESS(ROW(判定!$N$2)+1,COLUMN(判定!$N$2)+MATCH($D65,判定!$N$2:$W$2,0)-1,4,1)&amp;":"&amp;ADDRESS(ROW(判定!$O$2)+4,COLUMN(判定!$N$2)+MATCH($D65,判定!$N$2:$W$2,0),4,1),1),2,1),"")</f>
        <v/>
      </c>
      <c r="K65" s="340"/>
      <c r="L65" s="341"/>
      <c r="M65" s="330"/>
      <c r="N65" s="330"/>
      <c r="O65" s="331"/>
      <c r="P65" s="237"/>
      <c r="Q65" s="234" t="str">
        <f>IF(COUNTIF(判定!$L$2:$L$9,$D65)&gt;0,$P65,"")</f>
        <v/>
      </c>
      <c r="R65" s="234" t="str">
        <f>IF(COUNTIF(判定!$L$10:$L$20,$D65)&gt;0,$P65,"")</f>
        <v/>
      </c>
      <c r="S65" s="234" t="str">
        <f>IF(COUNTIF(判定!$L$21,$D65)&gt;0,$P65,"")</f>
        <v/>
      </c>
      <c r="T65" s="341"/>
      <c r="V65" s="226"/>
      <c r="W65" s="221" t="str">
        <f>IF(OR($C65=判定!$K$2,$C65=判定!$K$3,$C65=判定!$K$4,$C65=判定!$K$5),"",IF(COUNTIF($C$15:$C65,$C65)=1,ROW(),""))</f>
        <v/>
      </c>
      <c r="X65" s="221">
        <f t="shared" si="1"/>
        <v>0</v>
      </c>
      <c r="Y65" s="221">
        <f>IF(COUNTIF($C:$C,$X65)&gt;0,1,0)+IF(OR(COUNTIFS($C:$C,$X65,$D:$D,判定!$L$2)&gt;0,COUNTIFS($C:$C,$X65,$D:$D,判定!$L$3)&gt;0,COUNTIFS($C:$C,$X65,$D:$D,判定!$L$4)&gt;0),1,0)+IF(COUNTIFS($C:$C,$X65,$D:$D,判定!$L$7)&gt;0,1,0)+IF(COUNTIFS($C:$C,$X65,$D:$D,判定!$L$8)&gt;0,1,0)+IF(COUNTIFS($C:$C,$X65,$D:$D,判定!$L$9)&gt;0,1,0)</f>
        <v>0</v>
      </c>
      <c r="Z65" s="221" t="str">
        <f>IF(Y65&gt;0,Y65*100+COUNTIF($Y$15:Y65,Y65),"")</f>
        <v/>
      </c>
      <c r="AA65" s="221" t="e">
        <f t="shared" si="2"/>
        <v>#NUM!</v>
      </c>
      <c r="AB65" s="226"/>
      <c r="AC65" s="226"/>
      <c r="AD65" s="226"/>
      <c r="AE65" s="226"/>
      <c r="AF65" s="226"/>
    </row>
    <row r="66" spans="1:32" x14ac:dyDescent="0.2">
      <c r="A66" s="221" t="str">
        <f>IF($D66="","",COUNTA($D$15:$D66))</f>
        <v/>
      </c>
      <c r="B66" s="235"/>
      <c r="C66" s="235"/>
      <c r="D66" s="235"/>
      <c r="E66" s="337"/>
      <c r="F66" s="337"/>
      <c r="G66" s="337"/>
      <c r="H66" s="338"/>
      <c r="I66" s="339" t="str">
        <f t="shared" si="0"/>
        <v/>
      </c>
      <c r="J66" s="236" t="str">
        <f ca="1">IFERROR(VLOOKUP($G66,INDIRECT("判定!"&amp;ADDRESS(ROW(判定!$N$2)+1,COLUMN(判定!$N$2)+MATCH($D66,判定!$N$2:$W$2,0)-1,4,1)&amp;":"&amp;ADDRESS(ROW(判定!$O$2)+4,COLUMN(判定!$N$2)+MATCH($D66,判定!$N$2:$W$2,0),4,1),1),2,1),"")</f>
        <v/>
      </c>
      <c r="K66" s="340"/>
      <c r="L66" s="341"/>
      <c r="M66" s="330"/>
      <c r="N66" s="330"/>
      <c r="O66" s="331"/>
      <c r="P66" s="237"/>
      <c r="Q66" s="234" t="str">
        <f>IF(COUNTIF(判定!$L$2:$L$9,$D66)&gt;0,$P66,"")</f>
        <v/>
      </c>
      <c r="R66" s="234" t="str">
        <f>IF(COUNTIF(判定!$L$10:$L$20,$D66)&gt;0,$P66,"")</f>
        <v/>
      </c>
      <c r="S66" s="234" t="str">
        <f>IF(COUNTIF(判定!$L$21,$D66)&gt;0,$P66,"")</f>
        <v/>
      </c>
      <c r="T66" s="341"/>
      <c r="V66" s="226"/>
      <c r="W66" s="221" t="str">
        <f>IF(OR($C66=判定!$K$2,$C66=判定!$K$3,$C66=判定!$K$4,$C66=判定!$K$5),"",IF(COUNTIF($C$15:$C66,$C66)=1,ROW(),""))</f>
        <v/>
      </c>
      <c r="X66" s="221">
        <f t="shared" si="1"/>
        <v>0</v>
      </c>
      <c r="Y66" s="221">
        <f>IF(COUNTIF($C:$C,$X66)&gt;0,1,0)+IF(OR(COUNTIFS($C:$C,$X66,$D:$D,判定!$L$2)&gt;0,COUNTIFS($C:$C,$X66,$D:$D,判定!$L$3)&gt;0,COUNTIFS($C:$C,$X66,$D:$D,判定!$L$4)&gt;0),1,0)+IF(COUNTIFS($C:$C,$X66,$D:$D,判定!$L$7)&gt;0,1,0)+IF(COUNTIFS($C:$C,$X66,$D:$D,判定!$L$8)&gt;0,1,0)+IF(COUNTIFS($C:$C,$X66,$D:$D,判定!$L$9)&gt;0,1,0)</f>
        <v>0</v>
      </c>
      <c r="Z66" s="221" t="str">
        <f>IF(Y66&gt;0,Y66*100+COUNTIF($Y$15:Y66,Y66),"")</f>
        <v/>
      </c>
      <c r="AA66" s="221" t="e">
        <f t="shared" si="2"/>
        <v>#NUM!</v>
      </c>
      <c r="AB66" s="226"/>
      <c r="AC66" s="226"/>
      <c r="AD66" s="226"/>
      <c r="AE66" s="226"/>
      <c r="AF66" s="226"/>
    </row>
    <row r="67" spans="1:32" x14ac:dyDescent="0.2">
      <c r="A67" s="221" t="str">
        <f>IF($D67="","",COUNTA($D$15:$D67))</f>
        <v/>
      </c>
      <c r="B67" s="235"/>
      <c r="C67" s="235"/>
      <c r="D67" s="235"/>
      <c r="E67" s="337"/>
      <c r="F67" s="337"/>
      <c r="G67" s="337"/>
      <c r="H67" s="338"/>
      <c r="I67" s="339" t="str">
        <f t="shared" si="0"/>
        <v/>
      </c>
      <c r="J67" s="236" t="str">
        <f ca="1">IFERROR(VLOOKUP($G67,INDIRECT("判定!"&amp;ADDRESS(ROW(判定!$N$2)+1,COLUMN(判定!$N$2)+MATCH($D67,判定!$N$2:$W$2,0)-1,4,1)&amp;":"&amp;ADDRESS(ROW(判定!$O$2)+4,COLUMN(判定!$N$2)+MATCH($D67,判定!$N$2:$W$2,0),4,1),1),2,1),"")</f>
        <v/>
      </c>
      <c r="K67" s="340"/>
      <c r="L67" s="341"/>
      <c r="M67" s="330"/>
      <c r="N67" s="330"/>
      <c r="O67" s="331"/>
      <c r="P67" s="237"/>
      <c r="Q67" s="234" t="str">
        <f>IF(COUNTIF(判定!$L$2:$L$9,$D67)&gt;0,$P67,"")</f>
        <v/>
      </c>
      <c r="R67" s="234" t="str">
        <f>IF(COUNTIF(判定!$L$10:$L$20,$D67)&gt;0,$P67,"")</f>
        <v/>
      </c>
      <c r="S67" s="234" t="str">
        <f>IF(COUNTIF(判定!$L$21,$D67)&gt;0,$P67,"")</f>
        <v/>
      </c>
      <c r="T67" s="341"/>
      <c r="V67" s="226"/>
      <c r="W67" s="221" t="str">
        <f>IF(OR($C67=判定!$K$2,$C67=判定!$K$3,$C67=判定!$K$4,$C67=判定!$K$5),"",IF(COUNTIF($C$15:$C67,$C67)=1,ROW(),""))</f>
        <v/>
      </c>
      <c r="X67" s="221">
        <f t="shared" si="1"/>
        <v>0</v>
      </c>
      <c r="Y67" s="221">
        <f>IF(COUNTIF($C:$C,$X67)&gt;0,1,0)+IF(OR(COUNTIFS($C:$C,$X67,$D:$D,判定!$L$2)&gt;0,COUNTIFS($C:$C,$X67,$D:$D,判定!$L$3)&gt;0,COUNTIFS($C:$C,$X67,$D:$D,判定!$L$4)&gt;0),1,0)+IF(COUNTIFS($C:$C,$X67,$D:$D,判定!$L$7)&gt;0,1,0)+IF(COUNTIFS($C:$C,$X67,$D:$D,判定!$L$8)&gt;0,1,0)+IF(COUNTIFS($C:$C,$X67,$D:$D,判定!$L$9)&gt;0,1,0)</f>
        <v>0</v>
      </c>
      <c r="Z67" s="221" t="str">
        <f>IF(Y67&gt;0,Y67*100+COUNTIF($Y$15:Y67,Y67),"")</f>
        <v/>
      </c>
      <c r="AA67" s="221" t="e">
        <f t="shared" si="2"/>
        <v>#NUM!</v>
      </c>
      <c r="AB67" s="226"/>
      <c r="AC67" s="226"/>
      <c r="AD67" s="226"/>
      <c r="AE67" s="226"/>
      <c r="AF67" s="226"/>
    </row>
    <row r="68" spans="1:32" x14ac:dyDescent="0.2">
      <c r="A68" s="221" t="str">
        <f>IF($D68="","",COUNTA($D$15:$D68))</f>
        <v/>
      </c>
      <c r="B68" s="235"/>
      <c r="C68" s="235"/>
      <c r="D68" s="235"/>
      <c r="E68" s="337"/>
      <c r="F68" s="337"/>
      <c r="G68" s="337"/>
      <c r="H68" s="338"/>
      <c r="I68" s="339" t="str">
        <f t="shared" si="0"/>
        <v/>
      </c>
      <c r="J68" s="236" t="str">
        <f ca="1">IFERROR(VLOOKUP($G68,INDIRECT("判定!"&amp;ADDRESS(ROW(判定!$N$2)+1,COLUMN(判定!$N$2)+MATCH($D68,判定!$N$2:$W$2,0)-1,4,1)&amp;":"&amp;ADDRESS(ROW(判定!$O$2)+4,COLUMN(判定!$N$2)+MATCH($D68,判定!$N$2:$W$2,0),4,1),1),2,1),"")</f>
        <v/>
      </c>
      <c r="K68" s="340"/>
      <c r="L68" s="341"/>
      <c r="M68" s="330"/>
      <c r="N68" s="330"/>
      <c r="O68" s="331"/>
      <c r="P68" s="237"/>
      <c r="Q68" s="234" t="str">
        <f>IF(COUNTIF(判定!$L$2:$L$9,$D68)&gt;0,$P68,"")</f>
        <v/>
      </c>
      <c r="R68" s="234" t="str">
        <f>IF(COUNTIF(判定!$L$10:$L$20,$D68)&gt;0,$P68,"")</f>
        <v/>
      </c>
      <c r="S68" s="234" t="str">
        <f>IF(COUNTIF(判定!$L$21,$D68)&gt;0,$P68,"")</f>
        <v/>
      </c>
      <c r="T68" s="341"/>
      <c r="V68" s="226"/>
      <c r="W68" s="221" t="str">
        <f>IF(OR($C68=判定!$K$2,$C68=判定!$K$3,$C68=判定!$K$4,$C68=判定!$K$5),"",IF(COUNTIF($C$15:$C68,$C68)=1,ROW(),""))</f>
        <v/>
      </c>
      <c r="X68" s="221">
        <f t="shared" si="1"/>
        <v>0</v>
      </c>
      <c r="Y68" s="221">
        <f>IF(COUNTIF($C:$C,$X68)&gt;0,1,0)+IF(OR(COUNTIFS($C:$C,$X68,$D:$D,判定!$L$2)&gt;0,COUNTIFS($C:$C,$X68,$D:$D,判定!$L$3)&gt;0,COUNTIFS($C:$C,$X68,$D:$D,判定!$L$4)&gt;0),1,0)+IF(COUNTIFS($C:$C,$X68,$D:$D,判定!$L$7)&gt;0,1,0)+IF(COUNTIFS($C:$C,$X68,$D:$D,判定!$L$8)&gt;0,1,0)+IF(COUNTIFS($C:$C,$X68,$D:$D,判定!$L$9)&gt;0,1,0)</f>
        <v>0</v>
      </c>
      <c r="Z68" s="221" t="str">
        <f>IF(Y68&gt;0,Y68*100+COUNTIF($Y$15:Y68,Y68),"")</f>
        <v/>
      </c>
      <c r="AA68" s="221" t="e">
        <f t="shared" si="2"/>
        <v>#NUM!</v>
      </c>
      <c r="AB68" s="226"/>
      <c r="AC68" s="226"/>
      <c r="AD68" s="226"/>
      <c r="AE68" s="226"/>
      <c r="AF68" s="226"/>
    </row>
    <row r="69" spans="1:32" x14ac:dyDescent="0.2">
      <c r="A69" s="221" t="str">
        <f>IF($D69="","",COUNTA($D$15:$D69))</f>
        <v/>
      </c>
      <c r="B69" s="235"/>
      <c r="C69" s="235"/>
      <c r="D69" s="235"/>
      <c r="E69" s="337"/>
      <c r="F69" s="337"/>
      <c r="G69" s="337"/>
      <c r="H69" s="338"/>
      <c r="I69" s="339" t="str">
        <f t="shared" si="0"/>
        <v/>
      </c>
      <c r="J69" s="236" t="str">
        <f ca="1">IFERROR(VLOOKUP($G69,INDIRECT("判定!"&amp;ADDRESS(ROW(判定!$N$2)+1,COLUMN(判定!$N$2)+MATCH($D69,判定!$N$2:$W$2,0)-1,4,1)&amp;":"&amp;ADDRESS(ROW(判定!$O$2)+4,COLUMN(判定!$N$2)+MATCH($D69,判定!$N$2:$W$2,0),4,1),1),2,1),"")</f>
        <v/>
      </c>
      <c r="K69" s="340"/>
      <c r="L69" s="341"/>
      <c r="M69" s="330"/>
      <c r="N69" s="330"/>
      <c r="O69" s="331"/>
      <c r="P69" s="237"/>
      <c r="Q69" s="234" t="str">
        <f>IF(COUNTIF(判定!$L$2:$L$9,$D69)&gt;0,$P69,"")</f>
        <v/>
      </c>
      <c r="R69" s="234" t="str">
        <f>IF(COUNTIF(判定!$L$10:$L$20,$D69)&gt;0,$P69,"")</f>
        <v/>
      </c>
      <c r="S69" s="234" t="str">
        <f>IF(COUNTIF(判定!$L$21,$D69)&gt;0,$P69,"")</f>
        <v/>
      </c>
      <c r="T69" s="341"/>
      <c r="V69" s="226"/>
      <c r="W69" s="221" t="str">
        <f>IF(OR($C69=判定!$K$2,$C69=判定!$K$3,$C69=判定!$K$4,$C69=判定!$K$5),"",IF(COUNTIF($C$15:$C69,$C69)=1,ROW(),""))</f>
        <v/>
      </c>
      <c r="X69" s="221">
        <f t="shared" si="1"/>
        <v>0</v>
      </c>
      <c r="Y69" s="221">
        <f>IF(COUNTIF($C:$C,$X69)&gt;0,1,0)+IF(OR(COUNTIFS($C:$C,$X69,$D:$D,判定!$L$2)&gt;0,COUNTIFS($C:$C,$X69,$D:$D,判定!$L$3)&gt;0,COUNTIFS($C:$C,$X69,$D:$D,判定!$L$4)&gt;0),1,0)+IF(COUNTIFS($C:$C,$X69,$D:$D,判定!$L$7)&gt;0,1,0)+IF(COUNTIFS($C:$C,$X69,$D:$D,判定!$L$8)&gt;0,1,0)+IF(COUNTIFS($C:$C,$X69,$D:$D,判定!$L$9)&gt;0,1,0)</f>
        <v>0</v>
      </c>
      <c r="Z69" s="221" t="str">
        <f>IF(Y69&gt;0,Y69*100+COUNTIF($Y$15:Y69,Y69),"")</f>
        <v/>
      </c>
      <c r="AA69" s="221" t="e">
        <f t="shared" si="2"/>
        <v>#NUM!</v>
      </c>
      <c r="AB69" s="226"/>
      <c r="AC69" s="226"/>
      <c r="AD69" s="226"/>
      <c r="AE69" s="226"/>
      <c r="AF69" s="226"/>
    </row>
    <row r="70" spans="1:32" x14ac:dyDescent="0.2">
      <c r="A70" s="221" t="str">
        <f>IF($D70="","",COUNTA($D$15:$D70))</f>
        <v/>
      </c>
      <c r="B70" s="235"/>
      <c r="C70" s="235"/>
      <c r="D70" s="235"/>
      <c r="E70" s="337"/>
      <c r="F70" s="337"/>
      <c r="G70" s="337"/>
      <c r="H70" s="338"/>
      <c r="I70" s="339" t="str">
        <f t="shared" si="0"/>
        <v/>
      </c>
      <c r="J70" s="236" t="str">
        <f ca="1">IFERROR(VLOOKUP($G70,INDIRECT("判定!"&amp;ADDRESS(ROW(判定!$N$2)+1,COLUMN(判定!$N$2)+MATCH($D70,判定!$N$2:$W$2,0)-1,4,1)&amp;":"&amp;ADDRESS(ROW(判定!$O$2)+4,COLUMN(判定!$N$2)+MATCH($D70,判定!$N$2:$W$2,0),4,1),1),2,1),"")</f>
        <v/>
      </c>
      <c r="K70" s="340"/>
      <c r="L70" s="341"/>
      <c r="M70" s="330"/>
      <c r="N70" s="330"/>
      <c r="O70" s="331"/>
      <c r="P70" s="237"/>
      <c r="Q70" s="234" t="str">
        <f>IF(COUNTIF(判定!$L$2:$L$9,$D70)&gt;0,$P70,"")</f>
        <v/>
      </c>
      <c r="R70" s="234" t="str">
        <f>IF(COUNTIF(判定!$L$10:$L$20,$D70)&gt;0,$P70,"")</f>
        <v/>
      </c>
      <c r="S70" s="234" t="str">
        <f>IF(COUNTIF(判定!$L$21,$D70)&gt;0,$P70,"")</f>
        <v/>
      </c>
      <c r="T70" s="341"/>
      <c r="V70" s="226"/>
      <c r="W70" s="221" t="str">
        <f>IF(OR($C70=判定!$K$2,$C70=判定!$K$3,$C70=判定!$K$4,$C70=判定!$K$5),"",IF(COUNTIF($C$15:$C70,$C70)=1,ROW(),""))</f>
        <v/>
      </c>
      <c r="X70" s="221">
        <f t="shared" si="1"/>
        <v>0</v>
      </c>
      <c r="Y70" s="221">
        <f>IF(COUNTIF($C:$C,$X70)&gt;0,1,0)+IF(OR(COUNTIFS($C:$C,$X70,$D:$D,判定!$L$2)&gt;0,COUNTIFS($C:$C,$X70,$D:$D,判定!$L$3)&gt;0,COUNTIFS($C:$C,$X70,$D:$D,判定!$L$4)&gt;0),1,0)+IF(COUNTIFS($C:$C,$X70,$D:$D,判定!$L$7)&gt;0,1,0)+IF(COUNTIFS($C:$C,$X70,$D:$D,判定!$L$8)&gt;0,1,0)+IF(COUNTIFS($C:$C,$X70,$D:$D,判定!$L$9)&gt;0,1,0)</f>
        <v>0</v>
      </c>
      <c r="Z70" s="221" t="str">
        <f>IF(Y70&gt;0,Y70*100+COUNTIF($Y$15:Y70,Y70),"")</f>
        <v/>
      </c>
      <c r="AA70" s="221" t="e">
        <f t="shared" si="2"/>
        <v>#NUM!</v>
      </c>
      <c r="AB70" s="226"/>
      <c r="AC70" s="226"/>
      <c r="AD70" s="226"/>
      <c r="AE70" s="226"/>
      <c r="AF70" s="226"/>
    </row>
    <row r="71" spans="1:32" x14ac:dyDescent="0.2">
      <c r="A71" s="221" t="str">
        <f>IF($D71="","",COUNTA($D$15:$D71))</f>
        <v/>
      </c>
      <c r="B71" s="235"/>
      <c r="C71" s="235"/>
      <c r="D71" s="235"/>
      <c r="E71" s="337"/>
      <c r="F71" s="337"/>
      <c r="G71" s="337"/>
      <c r="H71" s="338"/>
      <c r="I71" s="339" t="str">
        <f t="shared" si="0"/>
        <v/>
      </c>
      <c r="J71" s="236" t="str">
        <f ca="1">IFERROR(VLOOKUP($G71,INDIRECT("判定!"&amp;ADDRESS(ROW(判定!$N$2)+1,COLUMN(判定!$N$2)+MATCH($D71,判定!$N$2:$W$2,0)-1,4,1)&amp;":"&amp;ADDRESS(ROW(判定!$O$2)+4,COLUMN(判定!$N$2)+MATCH($D71,判定!$N$2:$W$2,0),4,1),1),2,1),"")</f>
        <v/>
      </c>
      <c r="K71" s="340"/>
      <c r="L71" s="341"/>
      <c r="M71" s="330"/>
      <c r="N71" s="330"/>
      <c r="O71" s="331"/>
      <c r="P71" s="237"/>
      <c r="Q71" s="234" t="str">
        <f>IF(COUNTIF(判定!$L$2:$L$9,$D71)&gt;0,$P71,"")</f>
        <v/>
      </c>
      <c r="R71" s="234" t="str">
        <f>IF(COUNTIF(判定!$L$10:$L$20,$D71)&gt;0,$P71,"")</f>
        <v/>
      </c>
      <c r="S71" s="234" t="str">
        <f>IF(COUNTIF(判定!$L$21,$D71)&gt;0,$P71,"")</f>
        <v/>
      </c>
      <c r="T71" s="341"/>
      <c r="V71" s="226"/>
      <c r="W71" s="221" t="str">
        <f>IF(OR($C71=判定!$K$2,$C71=判定!$K$3,$C71=判定!$K$4,$C71=判定!$K$5),"",IF(COUNTIF($C$15:$C71,$C71)=1,ROW(),""))</f>
        <v/>
      </c>
      <c r="X71" s="221">
        <f t="shared" si="1"/>
        <v>0</v>
      </c>
      <c r="Y71" s="221">
        <f>IF(COUNTIF($C:$C,$X71)&gt;0,1,0)+IF(OR(COUNTIFS($C:$C,$X71,$D:$D,判定!$L$2)&gt;0,COUNTIFS($C:$C,$X71,$D:$D,判定!$L$3)&gt;0,COUNTIFS($C:$C,$X71,$D:$D,判定!$L$4)&gt;0),1,0)+IF(COUNTIFS($C:$C,$X71,$D:$D,判定!$L$7)&gt;0,1,0)+IF(COUNTIFS($C:$C,$X71,$D:$D,判定!$L$8)&gt;0,1,0)+IF(COUNTIFS($C:$C,$X71,$D:$D,判定!$L$9)&gt;0,1,0)</f>
        <v>0</v>
      </c>
      <c r="Z71" s="221" t="str">
        <f>IF(Y71&gt;0,Y71*100+COUNTIF($Y$15:Y71,Y71),"")</f>
        <v/>
      </c>
      <c r="AA71" s="221" t="e">
        <f t="shared" si="2"/>
        <v>#NUM!</v>
      </c>
      <c r="AB71" s="226"/>
      <c r="AC71" s="226"/>
      <c r="AD71" s="226"/>
      <c r="AE71" s="226"/>
      <c r="AF71" s="226"/>
    </row>
    <row r="72" spans="1:32" x14ac:dyDescent="0.2">
      <c r="A72" s="221" t="str">
        <f>IF($D72="","",COUNTA($D$15:$D72))</f>
        <v/>
      </c>
      <c r="B72" s="235"/>
      <c r="C72" s="235"/>
      <c r="D72" s="235"/>
      <c r="E72" s="337"/>
      <c r="F72" s="337"/>
      <c r="G72" s="337"/>
      <c r="H72" s="338"/>
      <c r="I72" s="339" t="str">
        <f t="shared" si="0"/>
        <v/>
      </c>
      <c r="J72" s="236" t="str">
        <f ca="1">IFERROR(VLOOKUP($G72,INDIRECT("判定!"&amp;ADDRESS(ROW(判定!$N$2)+1,COLUMN(判定!$N$2)+MATCH($D72,判定!$N$2:$W$2,0)-1,4,1)&amp;":"&amp;ADDRESS(ROW(判定!$O$2)+4,COLUMN(判定!$N$2)+MATCH($D72,判定!$N$2:$W$2,0),4,1),1),2,1),"")</f>
        <v/>
      </c>
      <c r="K72" s="340"/>
      <c r="L72" s="341"/>
      <c r="M72" s="330"/>
      <c r="N72" s="330"/>
      <c r="O72" s="331"/>
      <c r="P72" s="237"/>
      <c r="Q72" s="234" t="str">
        <f>IF(COUNTIF(判定!$L$2:$L$9,$D72)&gt;0,$P72,"")</f>
        <v/>
      </c>
      <c r="R72" s="234" t="str">
        <f>IF(COUNTIF(判定!$L$10:$L$20,$D72)&gt;0,$P72,"")</f>
        <v/>
      </c>
      <c r="S72" s="234" t="str">
        <f>IF(COUNTIF(判定!$L$21,$D72)&gt;0,$P72,"")</f>
        <v/>
      </c>
      <c r="T72" s="341"/>
      <c r="V72" s="226"/>
      <c r="W72" s="221" t="str">
        <f>IF(OR($C72=判定!$K$2,$C72=判定!$K$3,$C72=判定!$K$4,$C72=判定!$K$5),"",IF(COUNTIF($C$15:$C72,$C72)=1,ROW(),""))</f>
        <v/>
      </c>
      <c r="X72" s="221">
        <f t="shared" si="1"/>
        <v>0</v>
      </c>
      <c r="Y72" s="221">
        <f>IF(COUNTIF($C:$C,$X72)&gt;0,1,0)+IF(OR(COUNTIFS($C:$C,$X72,$D:$D,判定!$L$2)&gt;0,COUNTIFS($C:$C,$X72,$D:$D,判定!$L$3)&gt;0,COUNTIFS($C:$C,$X72,$D:$D,判定!$L$4)&gt;0),1,0)+IF(COUNTIFS($C:$C,$X72,$D:$D,判定!$L$7)&gt;0,1,0)+IF(COUNTIFS($C:$C,$X72,$D:$D,判定!$L$8)&gt;0,1,0)+IF(COUNTIFS($C:$C,$X72,$D:$D,判定!$L$9)&gt;0,1,0)</f>
        <v>0</v>
      </c>
      <c r="Z72" s="221" t="str">
        <f>IF(Y72&gt;0,Y72*100+COUNTIF($Y$15:Y72,Y72),"")</f>
        <v/>
      </c>
      <c r="AA72" s="221" t="e">
        <f t="shared" si="2"/>
        <v>#NUM!</v>
      </c>
      <c r="AB72" s="226"/>
      <c r="AC72" s="226"/>
      <c r="AD72" s="226"/>
      <c r="AE72" s="226"/>
      <c r="AF72" s="226"/>
    </row>
    <row r="73" spans="1:32" x14ac:dyDescent="0.2">
      <c r="A73" s="221" t="str">
        <f>IF($D73="","",COUNTA($D$15:$D73))</f>
        <v/>
      </c>
      <c r="B73" s="235"/>
      <c r="C73" s="235"/>
      <c r="D73" s="235"/>
      <c r="E73" s="337"/>
      <c r="F73" s="337"/>
      <c r="G73" s="337"/>
      <c r="H73" s="338"/>
      <c r="I73" s="339" t="str">
        <f t="shared" si="0"/>
        <v/>
      </c>
      <c r="J73" s="236" t="str">
        <f ca="1">IFERROR(VLOOKUP($G73,INDIRECT("判定!"&amp;ADDRESS(ROW(判定!$N$2)+1,COLUMN(判定!$N$2)+MATCH($D73,判定!$N$2:$W$2,0)-1,4,1)&amp;":"&amp;ADDRESS(ROW(判定!$O$2)+4,COLUMN(判定!$N$2)+MATCH($D73,判定!$N$2:$W$2,0),4,1),1),2,1),"")</f>
        <v/>
      </c>
      <c r="K73" s="340"/>
      <c r="L73" s="341"/>
      <c r="M73" s="330"/>
      <c r="N73" s="330"/>
      <c r="O73" s="331"/>
      <c r="P73" s="237"/>
      <c r="Q73" s="234" t="str">
        <f>IF(COUNTIF(判定!$L$2:$L$9,$D73)&gt;0,$P73,"")</f>
        <v/>
      </c>
      <c r="R73" s="234" t="str">
        <f>IF(COUNTIF(判定!$L$10:$L$20,$D73)&gt;0,$P73,"")</f>
        <v/>
      </c>
      <c r="S73" s="234" t="str">
        <f>IF(COUNTIF(判定!$L$21,$D73)&gt;0,$P73,"")</f>
        <v/>
      </c>
      <c r="T73" s="341"/>
      <c r="V73" s="226"/>
      <c r="W73" s="221" t="str">
        <f>IF(OR($C73=判定!$K$2,$C73=判定!$K$3,$C73=判定!$K$4,$C73=判定!$K$5),"",IF(COUNTIF($C$15:$C73,$C73)=1,ROW(),""))</f>
        <v/>
      </c>
      <c r="X73" s="221">
        <f t="shared" si="1"/>
        <v>0</v>
      </c>
      <c r="Y73" s="221">
        <f>IF(COUNTIF($C:$C,$X73)&gt;0,1,0)+IF(OR(COUNTIFS($C:$C,$X73,$D:$D,判定!$L$2)&gt;0,COUNTIFS($C:$C,$X73,$D:$D,判定!$L$3)&gt;0,COUNTIFS($C:$C,$X73,$D:$D,判定!$L$4)&gt;0),1,0)+IF(COUNTIFS($C:$C,$X73,$D:$D,判定!$L$7)&gt;0,1,0)+IF(COUNTIFS($C:$C,$X73,$D:$D,判定!$L$8)&gt;0,1,0)+IF(COUNTIFS($C:$C,$X73,$D:$D,判定!$L$9)&gt;0,1,0)</f>
        <v>0</v>
      </c>
      <c r="Z73" s="221" t="str">
        <f>IF(Y73&gt;0,Y73*100+COUNTIF($Y$15:Y73,Y73),"")</f>
        <v/>
      </c>
      <c r="AA73" s="221" t="e">
        <f t="shared" si="2"/>
        <v>#NUM!</v>
      </c>
      <c r="AB73" s="226"/>
      <c r="AC73" s="226"/>
      <c r="AD73" s="226"/>
      <c r="AE73" s="226"/>
      <c r="AF73" s="226"/>
    </row>
    <row r="74" spans="1:32" x14ac:dyDescent="0.2">
      <c r="A74" s="221" t="str">
        <f>IF($D74="","",COUNTA($D$15:$D74))</f>
        <v/>
      </c>
      <c r="B74" s="235"/>
      <c r="C74" s="235"/>
      <c r="D74" s="235"/>
      <c r="E74" s="337"/>
      <c r="F74" s="337"/>
      <c r="G74" s="337"/>
      <c r="H74" s="338"/>
      <c r="I74" s="339" t="str">
        <f t="shared" si="0"/>
        <v/>
      </c>
      <c r="J74" s="236" t="str">
        <f ca="1">IFERROR(VLOOKUP($G74,INDIRECT("判定!"&amp;ADDRESS(ROW(判定!$N$2)+1,COLUMN(判定!$N$2)+MATCH($D74,判定!$N$2:$W$2,0)-1,4,1)&amp;":"&amp;ADDRESS(ROW(判定!$O$2)+4,COLUMN(判定!$N$2)+MATCH($D74,判定!$N$2:$W$2,0),4,1),1),2,1),"")</f>
        <v/>
      </c>
      <c r="K74" s="340"/>
      <c r="L74" s="341"/>
      <c r="M74" s="330"/>
      <c r="N74" s="330"/>
      <c r="O74" s="331"/>
      <c r="P74" s="237"/>
      <c r="Q74" s="234" t="str">
        <f>IF(COUNTIF(判定!$L$2:$L$9,$D74)&gt;0,$P74,"")</f>
        <v/>
      </c>
      <c r="R74" s="234" t="str">
        <f>IF(COUNTIF(判定!$L$10:$L$20,$D74)&gt;0,$P74,"")</f>
        <v/>
      </c>
      <c r="S74" s="234" t="str">
        <f>IF(COUNTIF(判定!$L$21,$D74)&gt;0,$P74,"")</f>
        <v/>
      </c>
      <c r="T74" s="341"/>
      <c r="V74" s="226"/>
      <c r="W74" s="221" t="str">
        <f>IF(OR($C74=判定!$K$2,$C74=判定!$K$3,$C74=判定!$K$4,$C74=判定!$K$5),"",IF(COUNTIF($C$15:$C74,$C74)=1,ROW(),""))</f>
        <v/>
      </c>
      <c r="X74" s="221">
        <f t="shared" si="1"/>
        <v>0</v>
      </c>
      <c r="Y74" s="221">
        <f>IF(COUNTIF($C:$C,$X74)&gt;0,1,0)+IF(OR(COUNTIFS($C:$C,$X74,$D:$D,判定!$L$2)&gt;0,COUNTIFS($C:$C,$X74,$D:$D,判定!$L$3)&gt;0,COUNTIFS($C:$C,$X74,$D:$D,判定!$L$4)&gt;0),1,0)+IF(COUNTIFS($C:$C,$X74,$D:$D,判定!$L$7)&gt;0,1,0)+IF(COUNTIFS($C:$C,$X74,$D:$D,判定!$L$8)&gt;0,1,0)+IF(COUNTIFS($C:$C,$X74,$D:$D,判定!$L$9)&gt;0,1,0)</f>
        <v>0</v>
      </c>
      <c r="Z74" s="221" t="str">
        <f>IF(Y74&gt;0,Y74*100+COUNTIF($Y$15:Y74,Y74),"")</f>
        <v/>
      </c>
      <c r="AA74" s="221" t="e">
        <f t="shared" si="2"/>
        <v>#NUM!</v>
      </c>
      <c r="AB74" s="226"/>
      <c r="AC74" s="226"/>
      <c r="AD74" s="226"/>
      <c r="AE74" s="226"/>
      <c r="AF74" s="226"/>
    </row>
    <row r="75" spans="1:32" s="239" customFormat="1" x14ac:dyDescent="0.2">
      <c r="A75" s="221" t="str">
        <f>IF($D75="","",COUNTA($D$15:$D75))</f>
        <v/>
      </c>
      <c r="B75" s="238"/>
      <c r="C75" s="238"/>
      <c r="D75" s="238"/>
      <c r="E75" s="337"/>
      <c r="F75" s="337"/>
      <c r="G75" s="337"/>
      <c r="H75" s="338"/>
      <c r="I75" s="339" t="str">
        <f t="shared" si="0"/>
        <v/>
      </c>
      <c r="J75" s="236" t="str">
        <f ca="1">IFERROR(VLOOKUP($G75,INDIRECT("判定!"&amp;ADDRESS(ROW(判定!$N$2)+1,COLUMN(判定!$N$2)+MATCH($D75,判定!$N$2:$W$2,0)-1,4,1)&amp;":"&amp;ADDRESS(ROW(判定!$O$2)+4,COLUMN(判定!$N$2)+MATCH($D75,判定!$N$2:$W$2,0),4,1),1),2,1),"")</f>
        <v/>
      </c>
      <c r="K75" s="342"/>
      <c r="L75" s="343"/>
      <c r="M75" s="332"/>
      <c r="N75" s="332"/>
      <c r="O75" s="333"/>
      <c r="P75" s="237"/>
      <c r="Q75" s="234" t="str">
        <f>IF(COUNTIF(判定!$L$2:$L$9,$D75)&gt;0,$P75,"")</f>
        <v/>
      </c>
      <c r="R75" s="234" t="str">
        <f>IF(COUNTIF(判定!$L$10:$L$20,$D75)&gt;0,$P75,"")</f>
        <v/>
      </c>
      <c r="S75" s="234" t="str">
        <f>IF(COUNTIF(判定!$L$21,$D75)&gt;0,$P75,"")</f>
        <v/>
      </c>
      <c r="T75" s="343"/>
      <c r="V75" s="240"/>
      <c r="W75" s="221" t="str">
        <f>IF(OR($C75=判定!$K$2,$C75=判定!$K$3,$C75=判定!$K$4,$C75=判定!$K$5),"",IF(COUNTIF($C$15:$C75,$C75)=1,ROW(),""))</f>
        <v/>
      </c>
      <c r="X75" s="221">
        <f t="shared" si="1"/>
        <v>0</v>
      </c>
      <c r="Y75" s="221">
        <f>IF(COUNTIF($C:$C,$X75)&gt;0,1,0)+IF(OR(COUNTIFS($C:$C,$X75,$D:$D,判定!$L$2)&gt;0,COUNTIFS($C:$C,$X75,$D:$D,判定!$L$3)&gt;0,COUNTIFS($C:$C,$X75,$D:$D,判定!$L$4)&gt;0),1,0)+IF(COUNTIFS($C:$C,$X75,$D:$D,判定!$L$7)&gt;0,1,0)+IF(COUNTIFS($C:$C,$X75,$D:$D,判定!$L$8)&gt;0,1,0)+IF(COUNTIFS($C:$C,$X75,$D:$D,判定!$L$9)&gt;0,1,0)</f>
        <v>0</v>
      </c>
      <c r="Z75" s="221" t="str">
        <f>IF(Y75&gt;0,Y75*100+COUNTIF($Y$15:Y75,Y75),"")</f>
        <v/>
      </c>
      <c r="AA75" s="221" t="e">
        <f t="shared" si="2"/>
        <v>#NUM!</v>
      </c>
      <c r="AB75" s="240"/>
      <c r="AC75" s="240"/>
      <c r="AD75" s="240"/>
      <c r="AE75" s="240"/>
      <c r="AF75" s="240"/>
    </row>
    <row r="76" spans="1:32" s="239" customFormat="1" x14ac:dyDescent="0.2">
      <c r="A76" s="221" t="str">
        <f>IF($D76="","",COUNTA($D$15:$D76))</f>
        <v/>
      </c>
      <c r="B76" s="238"/>
      <c r="C76" s="238"/>
      <c r="D76" s="238"/>
      <c r="E76" s="337"/>
      <c r="F76" s="337"/>
      <c r="G76" s="337"/>
      <c r="H76" s="338"/>
      <c r="I76" s="339" t="str">
        <f t="shared" si="0"/>
        <v/>
      </c>
      <c r="J76" s="236" t="str">
        <f ca="1">IFERROR(VLOOKUP($G76,INDIRECT("判定!"&amp;ADDRESS(ROW(判定!$N$2)+1,COLUMN(判定!$N$2)+MATCH($D76,判定!$N$2:$W$2,0)-1,4,1)&amp;":"&amp;ADDRESS(ROW(判定!$O$2)+4,COLUMN(判定!$N$2)+MATCH($D76,判定!$N$2:$W$2,0),4,1),1),2,1),"")</f>
        <v/>
      </c>
      <c r="K76" s="342"/>
      <c r="L76" s="343"/>
      <c r="M76" s="332"/>
      <c r="N76" s="332"/>
      <c r="O76" s="333"/>
      <c r="P76" s="237"/>
      <c r="Q76" s="234" t="str">
        <f>IF(COUNTIF(判定!$L$2:$L$9,$D76)&gt;0,$P76,"")</f>
        <v/>
      </c>
      <c r="R76" s="234" t="str">
        <f>IF(COUNTIF(判定!$L$10:$L$20,$D76)&gt;0,$P76,"")</f>
        <v/>
      </c>
      <c r="S76" s="234" t="str">
        <f>IF(COUNTIF(判定!$L$21,$D76)&gt;0,$P76,"")</f>
        <v/>
      </c>
      <c r="T76" s="343"/>
      <c r="V76" s="240"/>
      <c r="W76" s="221" t="str">
        <f>IF(OR($C76=判定!$K$2,$C76=判定!$K$3,$C76=判定!$K$4,$C76=判定!$K$5),"",IF(COUNTIF($C$15:$C76,$C76)=1,ROW(),""))</f>
        <v/>
      </c>
      <c r="X76" s="221">
        <f t="shared" si="1"/>
        <v>0</v>
      </c>
      <c r="Y76" s="221">
        <f>IF(COUNTIF($C:$C,$X76)&gt;0,1,0)+IF(OR(COUNTIFS($C:$C,$X76,$D:$D,判定!$L$2)&gt;0,COUNTIFS($C:$C,$X76,$D:$D,判定!$L$3)&gt;0,COUNTIFS($C:$C,$X76,$D:$D,判定!$L$4)&gt;0),1,0)+IF(COUNTIFS($C:$C,$X76,$D:$D,判定!$L$7)&gt;0,1,0)+IF(COUNTIFS($C:$C,$X76,$D:$D,判定!$L$8)&gt;0,1,0)+IF(COUNTIFS($C:$C,$X76,$D:$D,判定!$L$9)&gt;0,1,0)</f>
        <v>0</v>
      </c>
      <c r="Z76" s="221" t="str">
        <f>IF(Y76&gt;0,Y76*100+COUNTIF($Y$15:Y76,Y76),"")</f>
        <v/>
      </c>
      <c r="AA76" s="221" t="e">
        <f t="shared" si="2"/>
        <v>#NUM!</v>
      </c>
      <c r="AB76" s="240"/>
      <c r="AC76" s="240"/>
      <c r="AD76" s="240"/>
      <c r="AE76" s="240"/>
      <c r="AF76" s="240"/>
    </row>
    <row r="77" spans="1:32" x14ac:dyDescent="0.2">
      <c r="A77" s="221" t="str">
        <f>IF($D77="","",COUNTA($D$15:$D77))</f>
        <v/>
      </c>
      <c r="B77" s="235"/>
      <c r="C77" s="235"/>
      <c r="D77" s="235"/>
      <c r="E77" s="337"/>
      <c r="F77" s="337"/>
      <c r="G77" s="337"/>
      <c r="H77" s="338"/>
      <c r="I77" s="339" t="str">
        <f t="shared" si="0"/>
        <v/>
      </c>
      <c r="J77" s="236" t="str">
        <f ca="1">IFERROR(VLOOKUP($G77,INDIRECT("判定!"&amp;ADDRESS(ROW(判定!$N$2)+1,COLUMN(判定!$N$2)+MATCH($D77,判定!$N$2:$W$2,0)-1,4,1)&amp;":"&amp;ADDRESS(ROW(判定!$O$2)+4,COLUMN(判定!$N$2)+MATCH($D77,判定!$N$2:$W$2,0),4,1),1),2,1),"")</f>
        <v/>
      </c>
      <c r="K77" s="340"/>
      <c r="L77" s="341"/>
      <c r="M77" s="330"/>
      <c r="N77" s="330"/>
      <c r="O77" s="331"/>
      <c r="P77" s="237"/>
      <c r="Q77" s="234" t="str">
        <f>IF(COUNTIF(判定!$L$2:$L$9,$D77)&gt;0,$P77,"")</f>
        <v/>
      </c>
      <c r="R77" s="234" t="str">
        <f>IF(COUNTIF(判定!$L$10:$L$20,$D77)&gt;0,$P77,"")</f>
        <v/>
      </c>
      <c r="S77" s="234" t="str">
        <f>IF(COUNTIF(判定!$L$21,$D77)&gt;0,$P77,"")</f>
        <v/>
      </c>
      <c r="T77" s="341"/>
      <c r="V77" s="226"/>
      <c r="W77" s="221" t="str">
        <f>IF(OR($C77=判定!$K$2,$C77=判定!$K$3,$C77=判定!$K$4,$C77=判定!$K$5),"",IF(COUNTIF($C$15:$C77,$C77)=1,ROW(),""))</f>
        <v/>
      </c>
      <c r="X77" s="221">
        <f t="shared" si="1"/>
        <v>0</v>
      </c>
      <c r="Y77" s="221">
        <f>IF(COUNTIF($C:$C,$X77)&gt;0,1,0)+IF(OR(COUNTIFS($C:$C,$X77,$D:$D,判定!$L$2)&gt;0,COUNTIFS($C:$C,$X77,$D:$D,判定!$L$3)&gt;0,COUNTIFS($C:$C,$X77,$D:$D,判定!$L$4)&gt;0),1,0)+IF(COUNTIFS($C:$C,$X77,$D:$D,判定!$L$7)&gt;0,1,0)+IF(COUNTIFS($C:$C,$X77,$D:$D,判定!$L$8)&gt;0,1,0)+IF(COUNTIFS($C:$C,$X77,$D:$D,判定!$L$9)&gt;0,1,0)</f>
        <v>0</v>
      </c>
      <c r="Z77" s="221" t="str">
        <f>IF(Y77&gt;0,Y77*100+COUNTIF($Y$15:Y77,Y77),"")</f>
        <v/>
      </c>
      <c r="AA77" s="221" t="e">
        <f t="shared" si="2"/>
        <v>#NUM!</v>
      </c>
      <c r="AB77" s="226"/>
      <c r="AC77" s="226"/>
      <c r="AD77" s="226"/>
      <c r="AE77" s="226"/>
      <c r="AF77" s="226"/>
    </row>
    <row r="78" spans="1:32" x14ac:dyDescent="0.2">
      <c r="A78" s="221" t="str">
        <f>IF($D78="","",COUNTA($D$15:$D78))</f>
        <v/>
      </c>
      <c r="B78" s="235"/>
      <c r="C78" s="235"/>
      <c r="D78" s="235"/>
      <c r="E78" s="337"/>
      <c r="F78" s="337"/>
      <c r="G78" s="337"/>
      <c r="H78" s="338"/>
      <c r="I78" s="339" t="str">
        <f t="shared" si="0"/>
        <v/>
      </c>
      <c r="J78" s="236" t="str">
        <f ca="1">IFERROR(VLOOKUP($G78,INDIRECT("判定!"&amp;ADDRESS(ROW(判定!$N$2)+1,COLUMN(判定!$N$2)+MATCH($D78,判定!$N$2:$W$2,0)-1,4,1)&amp;":"&amp;ADDRESS(ROW(判定!$O$2)+4,COLUMN(判定!$N$2)+MATCH($D78,判定!$N$2:$W$2,0),4,1),1),2,1),"")</f>
        <v/>
      </c>
      <c r="K78" s="340"/>
      <c r="L78" s="341"/>
      <c r="M78" s="330"/>
      <c r="N78" s="330"/>
      <c r="O78" s="331"/>
      <c r="P78" s="237"/>
      <c r="Q78" s="234" t="str">
        <f>IF(COUNTIF(判定!$L$2:$L$9,$D78)&gt;0,$P78,"")</f>
        <v/>
      </c>
      <c r="R78" s="234" t="str">
        <f>IF(COUNTIF(判定!$L$10:$L$20,$D78)&gt;0,$P78,"")</f>
        <v/>
      </c>
      <c r="S78" s="234" t="str">
        <f>IF(COUNTIF(判定!$L$21,$D78)&gt;0,$P78,"")</f>
        <v/>
      </c>
      <c r="T78" s="341"/>
      <c r="V78" s="226"/>
      <c r="W78" s="221" t="str">
        <f>IF(OR($C78=判定!$K$2,$C78=判定!$K$3,$C78=判定!$K$4,$C78=判定!$K$5),"",IF(COUNTIF($C$15:$C78,$C78)=1,ROW(),""))</f>
        <v/>
      </c>
      <c r="X78" s="221">
        <f t="shared" si="1"/>
        <v>0</v>
      </c>
      <c r="Y78" s="221">
        <f>IF(COUNTIF($C:$C,$X78)&gt;0,1,0)+IF(OR(COUNTIFS($C:$C,$X78,$D:$D,判定!$L$2)&gt;0,COUNTIFS($C:$C,$X78,$D:$D,判定!$L$3)&gt;0,COUNTIFS($C:$C,$X78,$D:$D,判定!$L$4)&gt;0),1,0)+IF(COUNTIFS($C:$C,$X78,$D:$D,判定!$L$7)&gt;0,1,0)+IF(COUNTIFS($C:$C,$X78,$D:$D,判定!$L$8)&gt;0,1,0)+IF(COUNTIFS($C:$C,$X78,$D:$D,判定!$L$9)&gt;0,1,0)</f>
        <v>0</v>
      </c>
      <c r="Z78" s="221" t="str">
        <f>IF(Y78&gt;0,Y78*100+COUNTIF($Y$15:Y78,Y78),"")</f>
        <v/>
      </c>
      <c r="AA78" s="221" t="e">
        <f t="shared" si="2"/>
        <v>#NUM!</v>
      </c>
      <c r="AB78" s="226"/>
      <c r="AC78" s="226"/>
      <c r="AD78" s="226"/>
      <c r="AE78" s="226"/>
      <c r="AF78" s="226"/>
    </row>
    <row r="79" spans="1:32" x14ac:dyDescent="0.2">
      <c r="A79" s="221" t="str">
        <f>IF($D79="","",COUNTA($D$15:$D79))</f>
        <v/>
      </c>
      <c r="B79" s="235"/>
      <c r="C79" s="235"/>
      <c r="D79" s="235"/>
      <c r="E79" s="337"/>
      <c r="F79" s="337"/>
      <c r="G79" s="337"/>
      <c r="H79" s="338"/>
      <c r="I79" s="339" t="str">
        <f t="shared" si="0"/>
        <v/>
      </c>
      <c r="J79" s="236" t="str">
        <f ca="1">IFERROR(VLOOKUP($G79,INDIRECT("判定!"&amp;ADDRESS(ROW(判定!$N$2)+1,COLUMN(判定!$N$2)+MATCH($D79,判定!$N$2:$W$2,0)-1,4,1)&amp;":"&amp;ADDRESS(ROW(判定!$O$2)+4,COLUMN(判定!$N$2)+MATCH($D79,判定!$N$2:$W$2,0),4,1),1),2,1),"")</f>
        <v/>
      </c>
      <c r="K79" s="340"/>
      <c r="L79" s="341"/>
      <c r="M79" s="330"/>
      <c r="N79" s="330"/>
      <c r="O79" s="331"/>
      <c r="P79" s="237"/>
      <c r="Q79" s="234" t="str">
        <f>IF(COUNTIF(判定!$L$2:$L$9,$D79)&gt;0,$P79,"")</f>
        <v/>
      </c>
      <c r="R79" s="234" t="str">
        <f>IF(COUNTIF(判定!$L$10:$L$20,$D79)&gt;0,$P79,"")</f>
        <v/>
      </c>
      <c r="S79" s="234" t="str">
        <f>IF(COUNTIF(判定!$L$21,$D79)&gt;0,$P79,"")</f>
        <v/>
      </c>
      <c r="T79" s="341"/>
      <c r="V79" s="226"/>
      <c r="W79" s="221" t="str">
        <f>IF(OR($C79=判定!$K$2,$C79=判定!$K$3,$C79=判定!$K$4,$C79=判定!$K$5),"",IF(COUNTIF($C$15:$C79,$C79)=1,ROW(),""))</f>
        <v/>
      </c>
      <c r="X79" s="221">
        <f t="shared" si="1"/>
        <v>0</v>
      </c>
      <c r="Y79" s="221">
        <f>IF(COUNTIF($C:$C,$X79)&gt;0,1,0)+IF(OR(COUNTIFS($C:$C,$X79,$D:$D,判定!$L$2)&gt;0,COUNTIFS($C:$C,$X79,$D:$D,判定!$L$3)&gt;0,COUNTIFS($C:$C,$X79,$D:$D,判定!$L$4)&gt;0),1,0)+IF(COUNTIFS($C:$C,$X79,$D:$D,判定!$L$7)&gt;0,1,0)+IF(COUNTIFS($C:$C,$X79,$D:$D,判定!$L$8)&gt;0,1,0)+IF(COUNTIFS($C:$C,$X79,$D:$D,判定!$L$9)&gt;0,1,0)</f>
        <v>0</v>
      </c>
      <c r="Z79" s="221" t="str">
        <f>IF(Y79&gt;0,Y79*100+COUNTIF($Y$15:Y79,Y79),"")</f>
        <v/>
      </c>
      <c r="AA79" s="221" t="e">
        <f t="shared" si="2"/>
        <v>#NUM!</v>
      </c>
      <c r="AB79" s="226"/>
      <c r="AC79" s="226"/>
      <c r="AD79" s="226"/>
      <c r="AE79" s="226"/>
      <c r="AF79" s="226"/>
    </row>
    <row r="80" spans="1:32" x14ac:dyDescent="0.2">
      <c r="A80" s="221" t="str">
        <f>IF($D80="","",COUNTA($D$15:$D80))</f>
        <v/>
      </c>
      <c r="B80" s="235"/>
      <c r="C80" s="235"/>
      <c r="D80" s="235"/>
      <c r="E80" s="337"/>
      <c r="F80" s="337"/>
      <c r="G80" s="337"/>
      <c r="H80" s="338"/>
      <c r="I80" s="339" t="str">
        <f t="shared" si="0"/>
        <v/>
      </c>
      <c r="J80" s="236" t="str">
        <f ca="1">IFERROR(VLOOKUP($G80,INDIRECT("判定!"&amp;ADDRESS(ROW(判定!$N$2)+1,COLUMN(判定!$N$2)+MATCH($D80,判定!$N$2:$W$2,0)-1,4,1)&amp;":"&amp;ADDRESS(ROW(判定!$O$2)+4,COLUMN(判定!$N$2)+MATCH($D80,判定!$N$2:$W$2,0),4,1),1),2,1),"")</f>
        <v/>
      </c>
      <c r="K80" s="340"/>
      <c r="L80" s="341"/>
      <c r="M80" s="330"/>
      <c r="N80" s="330"/>
      <c r="O80" s="331"/>
      <c r="P80" s="237"/>
      <c r="Q80" s="234" t="str">
        <f>IF(COUNTIF(判定!$L$2:$L$9,$D80)&gt;0,$P80,"")</f>
        <v/>
      </c>
      <c r="R80" s="234" t="str">
        <f>IF(COUNTIF(判定!$L$10:$L$20,$D80)&gt;0,$P80,"")</f>
        <v/>
      </c>
      <c r="S80" s="234" t="str">
        <f>IF(COUNTIF(判定!$L$21,$D80)&gt;0,$P80,"")</f>
        <v/>
      </c>
      <c r="T80" s="341"/>
      <c r="V80" s="226"/>
      <c r="W80" s="221" t="str">
        <f>IF(OR($C80=判定!$K$2,$C80=判定!$K$3,$C80=判定!$K$4,$C80=判定!$K$5),"",IF(COUNTIF($C$15:$C80,$C80)=1,ROW(),""))</f>
        <v/>
      </c>
      <c r="X80" s="221">
        <f t="shared" ref="X80:X143" si="3">IFERROR(INDEX($C:$C,SMALL($W:$W,ROW($A66))),0)</f>
        <v>0</v>
      </c>
      <c r="Y80" s="221">
        <f>IF(COUNTIF($C:$C,$X80)&gt;0,1,0)+IF(OR(COUNTIFS($C:$C,$X80,$D:$D,判定!$L$2)&gt;0,COUNTIFS($C:$C,$X80,$D:$D,判定!$L$3)&gt;0,COUNTIFS($C:$C,$X80,$D:$D,判定!$L$4)&gt;0),1,0)+IF(COUNTIFS($C:$C,$X80,$D:$D,判定!$L$7)&gt;0,1,0)+IF(COUNTIFS($C:$C,$X80,$D:$D,判定!$L$8)&gt;0,1,0)+IF(COUNTIFS($C:$C,$X80,$D:$D,判定!$L$9)&gt;0,1,0)</f>
        <v>0</v>
      </c>
      <c r="Z80" s="221" t="str">
        <f>IF(Y80&gt;0,Y80*100+COUNTIF($Y$15:Y80,Y80),"")</f>
        <v/>
      </c>
      <c r="AA80" s="221" t="e">
        <f t="shared" ref="AA80:AA143" si="4">INDEX($X:$X,MATCH(LARGE($Z:$Z,ROW($A66)),$Z:$Z,0))</f>
        <v>#NUM!</v>
      </c>
      <c r="AB80" s="226"/>
      <c r="AC80" s="226"/>
      <c r="AD80" s="226"/>
      <c r="AE80" s="226"/>
      <c r="AF80" s="226"/>
    </row>
    <row r="81" spans="1:32" x14ac:dyDescent="0.2">
      <c r="A81" s="221" t="str">
        <f>IF($D81="","",COUNTA($D$15:$D81))</f>
        <v/>
      </c>
      <c r="B81" s="235"/>
      <c r="C81" s="235"/>
      <c r="D81" s="235"/>
      <c r="E81" s="337"/>
      <c r="F81" s="337"/>
      <c r="G81" s="337"/>
      <c r="H81" s="338"/>
      <c r="I81" s="339" t="str">
        <f t="shared" si="0"/>
        <v/>
      </c>
      <c r="J81" s="236" t="str">
        <f ca="1">IFERROR(VLOOKUP($G81,INDIRECT("判定!"&amp;ADDRESS(ROW(判定!$N$2)+1,COLUMN(判定!$N$2)+MATCH($D81,判定!$N$2:$W$2,0)-1,4,1)&amp;":"&amp;ADDRESS(ROW(判定!$O$2)+4,COLUMN(判定!$N$2)+MATCH($D81,判定!$N$2:$W$2,0),4,1),1),2,1),"")</f>
        <v/>
      </c>
      <c r="K81" s="340"/>
      <c r="L81" s="341"/>
      <c r="M81" s="330"/>
      <c r="N81" s="330"/>
      <c r="O81" s="331"/>
      <c r="P81" s="237"/>
      <c r="Q81" s="234" t="str">
        <f>IF(COUNTIF(判定!$L$2:$L$9,$D81)&gt;0,$P81,"")</f>
        <v/>
      </c>
      <c r="R81" s="234" t="str">
        <f>IF(COUNTIF(判定!$L$10:$L$20,$D81)&gt;0,$P81,"")</f>
        <v/>
      </c>
      <c r="S81" s="234" t="str">
        <f>IF(COUNTIF(判定!$L$21,$D81)&gt;0,$P81,"")</f>
        <v/>
      </c>
      <c r="T81" s="341"/>
      <c r="V81" s="226"/>
      <c r="W81" s="221" t="str">
        <f>IF(OR($C81=判定!$K$2,$C81=判定!$K$3,$C81=判定!$K$4,$C81=判定!$K$5),"",IF(COUNTIF($C$15:$C81,$C81)=1,ROW(),""))</f>
        <v/>
      </c>
      <c r="X81" s="221">
        <f t="shared" si="3"/>
        <v>0</v>
      </c>
      <c r="Y81" s="221">
        <f>IF(COUNTIF($C:$C,$X81)&gt;0,1,0)+IF(OR(COUNTIFS($C:$C,$X81,$D:$D,判定!$L$2)&gt;0,COUNTIFS($C:$C,$X81,$D:$D,判定!$L$3)&gt;0,COUNTIFS($C:$C,$X81,$D:$D,判定!$L$4)&gt;0),1,0)+IF(COUNTIFS($C:$C,$X81,$D:$D,判定!$L$7)&gt;0,1,0)+IF(COUNTIFS($C:$C,$X81,$D:$D,判定!$L$8)&gt;0,1,0)+IF(COUNTIFS($C:$C,$X81,$D:$D,判定!$L$9)&gt;0,1,0)</f>
        <v>0</v>
      </c>
      <c r="Z81" s="221" t="str">
        <f>IF(Y81&gt;0,Y81*100+COUNTIF($Y$15:Y81,Y81),"")</f>
        <v/>
      </c>
      <c r="AA81" s="221" t="e">
        <f t="shared" si="4"/>
        <v>#NUM!</v>
      </c>
      <c r="AB81" s="226"/>
      <c r="AC81" s="226"/>
      <c r="AD81" s="226"/>
      <c r="AE81" s="226"/>
      <c r="AF81" s="226"/>
    </row>
    <row r="82" spans="1:32" x14ac:dyDescent="0.2">
      <c r="A82" s="221" t="str">
        <f>IF($D82="","",COUNTA($D$15:$D82))</f>
        <v/>
      </c>
      <c r="B82" s="235"/>
      <c r="C82" s="235"/>
      <c r="D82" s="235"/>
      <c r="E82" s="337"/>
      <c r="F82" s="337"/>
      <c r="G82" s="337"/>
      <c r="H82" s="338"/>
      <c r="I82" s="339" t="str">
        <f t="shared" si="0"/>
        <v/>
      </c>
      <c r="J82" s="236" t="str">
        <f ca="1">IFERROR(VLOOKUP($G82,INDIRECT("判定!"&amp;ADDRESS(ROW(判定!$N$2)+1,COLUMN(判定!$N$2)+MATCH($D82,判定!$N$2:$W$2,0)-1,4,1)&amp;":"&amp;ADDRESS(ROW(判定!$O$2)+4,COLUMN(判定!$N$2)+MATCH($D82,判定!$N$2:$W$2,0),4,1),1),2,1),"")</f>
        <v/>
      </c>
      <c r="K82" s="340"/>
      <c r="L82" s="341"/>
      <c r="M82" s="330"/>
      <c r="N82" s="330"/>
      <c r="O82" s="331"/>
      <c r="P82" s="237"/>
      <c r="Q82" s="234" t="str">
        <f>IF(COUNTIF(判定!$L$2:$L$9,$D82)&gt;0,$P82,"")</f>
        <v/>
      </c>
      <c r="R82" s="234" t="str">
        <f>IF(COUNTIF(判定!$L$10:$L$20,$D82)&gt;0,$P82,"")</f>
        <v/>
      </c>
      <c r="S82" s="234" t="str">
        <f>IF(COUNTIF(判定!$L$21,$D82)&gt;0,$P82,"")</f>
        <v/>
      </c>
      <c r="T82" s="341"/>
      <c r="V82" s="226"/>
      <c r="W82" s="221" t="str">
        <f>IF(OR($C82=判定!$K$2,$C82=判定!$K$3,$C82=判定!$K$4,$C82=判定!$K$5),"",IF(COUNTIF($C$15:$C82,$C82)=1,ROW(),""))</f>
        <v/>
      </c>
      <c r="X82" s="221">
        <f t="shared" si="3"/>
        <v>0</v>
      </c>
      <c r="Y82" s="221">
        <f>IF(COUNTIF($C:$C,$X82)&gt;0,1,0)+IF(OR(COUNTIFS($C:$C,$X82,$D:$D,判定!$L$2)&gt;0,COUNTIFS($C:$C,$X82,$D:$D,判定!$L$3)&gt;0,COUNTIFS($C:$C,$X82,$D:$D,判定!$L$4)&gt;0),1,0)+IF(COUNTIFS($C:$C,$X82,$D:$D,判定!$L$7)&gt;0,1,0)+IF(COUNTIFS($C:$C,$X82,$D:$D,判定!$L$8)&gt;0,1,0)+IF(COUNTIFS($C:$C,$X82,$D:$D,判定!$L$9)&gt;0,1,0)</f>
        <v>0</v>
      </c>
      <c r="Z82" s="221" t="str">
        <f>IF(Y82&gt;0,Y82*100+COUNTIF($Y$15:Y82,Y82),"")</f>
        <v/>
      </c>
      <c r="AA82" s="221" t="e">
        <f t="shared" si="4"/>
        <v>#NUM!</v>
      </c>
      <c r="AB82" s="226"/>
      <c r="AC82" s="226"/>
      <c r="AD82" s="226"/>
      <c r="AE82" s="226"/>
      <c r="AF82" s="226"/>
    </row>
    <row r="83" spans="1:32" x14ac:dyDescent="0.2">
      <c r="A83" s="221" t="str">
        <f>IF($D83="","",COUNTA($D$15:$D83))</f>
        <v/>
      </c>
      <c r="B83" s="235"/>
      <c r="C83" s="235"/>
      <c r="D83" s="235"/>
      <c r="E83" s="337"/>
      <c r="F83" s="337"/>
      <c r="G83" s="337"/>
      <c r="H83" s="338"/>
      <c r="I83" s="339" t="str">
        <f t="shared" si="0"/>
        <v/>
      </c>
      <c r="J83" s="236" t="str">
        <f ca="1">IFERROR(VLOOKUP($G83,INDIRECT("判定!"&amp;ADDRESS(ROW(判定!$N$2)+1,COLUMN(判定!$N$2)+MATCH($D83,判定!$N$2:$W$2,0)-1,4,1)&amp;":"&amp;ADDRESS(ROW(判定!$O$2)+4,COLUMN(判定!$N$2)+MATCH($D83,判定!$N$2:$W$2,0),4,1),1),2,1),"")</f>
        <v/>
      </c>
      <c r="K83" s="340"/>
      <c r="L83" s="341"/>
      <c r="M83" s="330"/>
      <c r="N83" s="330"/>
      <c r="O83" s="331"/>
      <c r="P83" s="237"/>
      <c r="Q83" s="234" t="str">
        <f>IF(COUNTIF(判定!$L$2:$L$9,$D83)&gt;0,$P83,"")</f>
        <v/>
      </c>
      <c r="R83" s="234" t="str">
        <f>IF(COUNTIF(判定!$L$10:$L$20,$D83)&gt;0,$P83,"")</f>
        <v/>
      </c>
      <c r="S83" s="234" t="str">
        <f>IF(COUNTIF(判定!$L$21,$D83)&gt;0,$P83,"")</f>
        <v/>
      </c>
      <c r="T83" s="341"/>
      <c r="V83" s="226"/>
      <c r="W83" s="221" t="str">
        <f>IF(OR($C83=判定!$K$2,$C83=判定!$K$3,$C83=判定!$K$4,$C83=判定!$K$5),"",IF(COUNTIF($C$15:$C83,$C83)=1,ROW(),""))</f>
        <v/>
      </c>
      <c r="X83" s="221">
        <f t="shared" si="3"/>
        <v>0</v>
      </c>
      <c r="Y83" s="221">
        <f>IF(COUNTIF($C:$C,$X83)&gt;0,1,0)+IF(OR(COUNTIFS($C:$C,$X83,$D:$D,判定!$L$2)&gt;0,COUNTIFS($C:$C,$X83,$D:$D,判定!$L$3)&gt;0,COUNTIFS($C:$C,$X83,$D:$D,判定!$L$4)&gt;0),1,0)+IF(COUNTIFS($C:$C,$X83,$D:$D,判定!$L$7)&gt;0,1,0)+IF(COUNTIFS($C:$C,$X83,$D:$D,判定!$L$8)&gt;0,1,0)+IF(COUNTIFS($C:$C,$X83,$D:$D,判定!$L$9)&gt;0,1,0)</f>
        <v>0</v>
      </c>
      <c r="Z83" s="221" t="str">
        <f>IF(Y83&gt;0,Y83*100+COUNTIF($Y$15:Y83,Y83),"")</f>
        <v/>
      </c>
      <c r="AA83" s="221" t="e">
        <f t="shared" si="4"/>
        <v>#NUM!</v>
      </c>
      <c r="AB83" s="226"/>
      <c r="AC83" s="226"/>
      <c r="AD83" s="226"/>
      <c r="AE83" s="226"/>
      <c r="AF83" s="226"/>
    </row>
    <row r="84" spans="1:32" x14ac:dyDescent="0.2">
      <c r="A84" s="221" t="str">
        <f>IF($D84="","",COUNTA($D$15:$D84))</f>
        <v/>
      </c>
      <c r="B84" s="235"/>
      <c r="C84" s="235"/>
      <c r="D84" s="235"/>
      <c r="E84" s="337"/>
      <c r="F84" s="337"/>
      <c r="G84" s="337"/>
      <c r="H84" s="338"/>
      <c r="I84" s="339" t="str">
        <f t="shared" si="0"/>
        <v/>
      </c>
      <c r="J84" s="236" t="str">
        <f ca="1">IFERROR(VLOOKUP($G84,INDIRECT("判定!"&amp;ADDRESS(ROW(判定!$N$2)+1,COLUMN(判定!$N$2)+MATCH($D84,判定!$N$2:$W$2,0)-1,4,1)&amp;":"&amp;ADDRESS(ROW(判定!$O$2)+4,COLUMN(判定!$N$2)+MATCH($D84,判定!$N$2:$W$2,0),4,1),1),2,1),"")</f>
        <v/>
      </c>
      <c r="K84" s="340"/>
      <c r="L84" s="341"/>
      <c r="M84" s="330"/>
      <c r="N84" s="330"/>
      <c r="O84" s="331"/>
      <c r="P84" s="237"/>
      <c r="Q84" s="234" t="str">
        <f>IF(COUNTIF(判定!$L$2:$L$9,$D84)&gt;0,$P84,"")</f>
        <v/>
      </c>
      <c r="R84" s="234" t="str">
        <f>IF(COUNTIF(判定!$L$10:$L$20,$D84)&gt;0,$P84,"")</f>
        <v/>
      </c>
      <c r="S84" s="234" t="str">
        <f>IF(COUNTIF(判定!$L$21,$D84)&gt;0,$P84,"")</f>
        <v/>
      </c>
      <c r="T84" s="341"/>
      <c r="V84" s="226"/>
      <c r="W84" s="221" t="str">
        <f>IF(OR($C84=判定!$K$2,$C84=判定!$K$3,$C84=判定!$K$4,$C84=判定!$K$5),"",IF(COUNTIF($C$15:$C84,$C84)=1,ROW(),""))</f>
        <v/>
      </c>
      <c r="X84" s="221">
        <f t="shared" si="3"/>
        <v>0</v>
      </c>
      <c r="Y84" s="221">
        <f>IF(COUNTIF($C:$C,$X84)&gt;0,1,0)+IF(OR(COUNTIFS($C:$C,$X84,$D:$D,判定!$L$2)&gt;0,COUNTIFS($C:$C,$X84,$D:$D,判定!$L$3)&gt;0,COUNTIFS($C:$C,$X84,$D:$D,判定!$L$4)&gt;0),1,0)+IF(COUNTIFS($C:$C,$X84,$D:$D,判定!$L$7)&gt;0,1,0)+IF(COUNTIFS($C:$C,$X84,$D:$D,判定!$L$8)&gt;0,1,0)+IF(COUNTIFS($C:$C,$X84,$D:$D,判定!$L$9)&gt;0,1,0)</f>
        <v>0</v>
      </c>
      <c r="Z84" s="221" t="str">
        <f>IF(Y84&gt;0,Y84*100+COUNTIF($Y$15:Y84,Y84),"")</f>
        <v/>
      </c>
      <c r="AA84" s="221" t="e">
        <f t="shared" si="4"/>
        <v>#NUM!</v>
      </c>
      <c r="AB84" s="226"/>
      <c r="AC84" s="226"/>
      <c r="AD84" s="226"/>
      <c r="AE84" s="226"/>
      <c r="AF84" s="226"/>
    </row>
    <row r="85" spans="1:32" x14ac:dyDescent="0.2">
      <c r="A85" s="221" t="str">
        <f>IF($D85="","",COUNTA($D$15:$D85))</f>
        <v/>
      </c>
      <c r="B85" s="235"/>
      <c r="C85" s="235"/>
      <c r="D85" s="235"/>
      <c r="E85" s="337"/>
      <c r="F85" s="337"/>
      <c r="G85" s="337"/>
      <c r="H85" s="338"/>
      <c r="I85" s="339" t="str">
        <f t="shared" si="0"/>
        <v/>
      </c>
      <c r="J85" s="236" t="str">
        <f ca="1">IFERROR(VLOOKUP($G85,INDIRECT("判定!"&amp;ADDRESS(ROW(判定!$N$2)+1,COLUMN(判定!$N$2)+MATCH($D85,判定!$N$2:$W$2,0)-1,4,1)&amp;":"&amp;ADDRESS(ROW(判定!$O$2)+4,COLUMN(判定!$N$2)+MATCH($D85,判定!$N$2:$W$2,0),4,1),1),2,1),"")</f>
        <v/>
      </c>
      <c r="K85" s="340"/>
      <c r="L85" s="341"/>
      <c r="M85" s="330"/>
      <c r="N85" s="330"/>
      <c r="O85" s="331"/>
      <c r="P85" s="237"/>
      <c r="Q85" s="234" t="str">
        <f>IF(COUNTIF(判定!$L$2:$L$9,$D85)&gt;0,$P85,"")</f>
        <v/>
      </c>
      <c r="R85" s="234" t="str">
        <f>IF(COUNTIF(判定!$L$10:$L$20,$D85)&gt;0,$P85,"")</f>
        <v/>
      </c>
      <c r="S85" s="234" t="str">
        <f>IF(COUNTIF(判定!$L$21,$D85)&gt;0,$P85,"")</f>
        <v/>
      </c>
      <c r="T85" s="341"/>
      <c r="V85" s="226"/>
      <c r="W85" s="221" t="str">
        <f>IF(OR($C85=判定!$K$2,$C85=判定!$K$3,$C85=判定!$K$4,$C85=判定!$K$5),"",IF(COUNTIF($C$15:$C85,$C85)=1,ROW(),""))</f>
        <v/>
      </c>
      <c r="X85" s="221">
        <f t="shared" si="3"/>
        <v>0</v>
      </c>
      <c r="Y85" s="221">
        <f>IF(COUNTIF($C:$C,$X85)&gt;0,1,0)+IF(OR(COUNTIFS($C:$C,$X85,$D:$D,判定!$L$2)&gt;0,COUNTIFS($C:$C,$X85,$D:$D,判定!$L$3)&gt;0,COUNTIFS($C:$C,$X85,$D:$D,判定!$L$4)&gt;0),1,0)+IF(COUNTIFS($C:$C,$X85,$D:$D,判定!$L$7)&gt;0,1,0)+IF(COUNTIFS($C:$C,$X85,$D:$D,判定!$L$8)&gt;0,1,0)+IF(COUNTIFS($C:$C,$X85,$D:$D,判定!$L$9)&gt;0,1,0)</f>
        <v>0</v>
      </c>
      <c r="Z85" s="221" t="str">
        <f>IF(Y85&gt;0,Y85*100+COUNTIF($Y$15:Y85,Y85),"")</f>
        <v/>
      </c>
      <c r="AA85" s="221" t="e">
        <f t="shared" si="4"/>
        <v>#NUM!</v>
      </c>
      <c r="AB85" s="226"/>
      <c r="AC85" s="226"/>
      <c r="AD85" s="226"/>
      <c r="AE85" s="226"/>
      <c r="AF85" s="226"/>
    </row>
    <row r="86" spans="1:32" x14ac:dyDescent="0.2">
      <c r="A86" s="221" t="str">
        <f>IF($D86="","",COUNTA($D$15:$D86))</f>
        <v/>
      </c>
      <c r="B86" s="235"/>
      <c r="C86" s="235"/>
      <c r="D86" s="235"/>
      <c r="E86" s="337"/>
      <c r="F86" s="337"/>
      <c r="G86" s="337"/>
      <c r="H86" s="338"/>
      <c r="I86" s="339" t="str">
        <f t="shared" si="0"/>
        <v/>
      </c>
      <c r="J86" s="236" t="str">
        <f ca="1">IFERROR(VLOOKUP($G86,INDIRECT("判定!"&amp;ADDRESS(ROW(判定!$N$2)+1,COLUMN(判定!$N$2)+MATCH($D86,判定!$N$2:$W$2,0)-1,4,1)&amp;":"&amp;ADDRESS(ROW(判定!$O$2)+4,COLUMN(判定!$N$2)+MATCH($D86,判定!$N$2:$W$2,0),4,1),1),2,1),"")</f>
        <v/>
      </c>
      <c r="K86" s="340"/>
      <c r="L86" s="341"/>
      <c r="M86" s="330"/>
      <c r="N86" s="330"/>
      <c r="O86" s="331"/>
      <c r="P86" s="237"/>
      <c r="Q86" s="234" t="str">
        <f>IF(COUNTIF(判定!$L$2:$L$9,$D86)&gt;0,$P86,"")</f>
        <v/>
      </c>
      <c r="R86" s="234" t="str">
        <f>IF(COUNTIF(判定!$L$10:$L$20,$D86)&gt;0,$P86,"")</f>
        <v/>
      </c>
      <c r="S86" s="234" t="str">
        <f>IF(COUNTIF(判定!$L$21,$D86)&gt;0,$P86,"")</f>
        <v/>
      </c>
      <c r="T86" s="341"/>
      <c r="V86" s="226"/>
      <c r="W86" s="221" t="str">
        <f>IF(OR($C86=判定!$K$2,$C86=判定!$K$3,$C86=判定!$K$4,$C86=判定!$K$5),"",IF(COUNTIF($C$15:$C86,$C86)=1,ROW(),""))</f>
        <v/>
      </c>
      <c r="X86" s="221">
        <f t="shared" si="3"/>
        <v>0</v>
      </c>
      <c r="Y86" s="221">
        <f>IF(COUNTIF($C:$C,$X86)&gt;0,1,0)+IF(OR(COUNTIFS($C:$C,$X86,$D:$D,判定!$L$2)&gt;0,COUNTIFS($C:$C,$X86,$D:$D,判定!$L$3)&gt;0,COUNTIFS($C:$C,$X86,$D:$D,判定!$L$4)&gt;0),1,0)+IF(COUNTIFS($C:$C,$X86,$D:$D,判定!$L$7)&gt;0,1,0)+IF(COUNTIFS($C:$C,$X86,$D:$D,判定!$L$8)&gt;0,1,0)+IF(COUNTIFS($C:$C,$X86,$D:$D,判定!$L$9)&gt;0,1,0)</f>
        <v>0</v>
      </c>
      <c r="Z86" s="221" t="str">
        <f>IF(Y86&gt;0,Y86*100+COUNTIF($Y$15:Y86,Y86),"")</f>
        <v/>
      </c>
      <c r="AA86" s="221" t="e">
        <f t="shared" si="4"/>
        <v>#NUM!</v>
      </c>
      <c r="AB86" s="226"/>
      <c r="AC86" s="226"/>
      <c r="AD86" s="226"/>
      <c r="AE86" s="226"/>
      <c r="AF86" s="226"/>
    </row>
    <row r="87" spans="1:32" x14ac:dyDescent="0.2">
      <c r="A87" s="221" t="str">
        <f>IF($D87="","",COUNTA($D$15:$D87))</f>
        <v/>
      </c>
      <c r="B87" s="235"/>
      <c r="C87" s="235"/>
      <c r="D87" s="235"/>
      <c r="E87" s="337"/>
      <c r="F87" s="337"/>
      <c r="G87" s="337"/>
      <c r="H87" s="338"/>
      <c r="I87" s="339" t="str">
        <f t="shared" si="0"/>
        <v/>
      </c>
      <c r="J87" s="236" t="str">
        <f ca="1">IFERROR(VLOOKUP($G87,INDIRECT("判定!"&amp;ADDRESS(ROW(判定!$N$2)+1,COLUMN(判定!$N$2)+MATCH($D87,判定!$N$2:$W$2,0)-1,4,1)&amp;":"&amp;ADDRESS(ROW(判定!$O$2)+4,COLUMN(判定!$N$2)+MATCH($D87,判定!$N$2:$W$2,0),4,1),1),2,1),"")</f>
        <v/>
      </c>
      <c r="K87" s="340"/>
      <c r="L87" s="341"/>
      <c r="M87" s="330"/>
      <c r="N87" s="330"/>
      <c r="O87" s="331"/>
      <c r="P87" s="237"/>
      <c r="Q87" s="234" t="str">
        <f>IF(COUNTIF(判定!$L$2:$L$9,$D87)&gt;0,$P87,"")</f>
        <v/>
      </c>
      <c r="R87" s="234" t="str">
        <f>IF(COUNTIF(判定!$L$10:$L$20,$D87)&gt;0,$P87,"")</f>
        <v/>
      </c>
      <c r="S87" s="234" t="str">
        <f>IF(COUNTIF(判定!$L$21,$D87)&gt;0,$P87,"")</f>
        <v/>
      </c>
      <c r="T87" s="341"/>
      <c r="V87" s="226"/>
      <c r="W87" s="221" t="str">
        <f>IF(OR($C87=判定!$K$2,$C87=判定!$K$3,$C87=判定!$K$4,$C87=判定!$K$5),"",IF(COUNTIF($C$15:$C87,$C87)=1,ROW(),""))</f>
        <v/>
      </c>
      <c r="X87" s="221">
        <f t="shared" si="3"/>
        <v>0</v>
      </c>
      <c r="Y87" s="221">
        <f>IF(COUNTIF($C:$C,$X87)&gt;0,1,0)+IF(OR(COUNTIFS($C:$C,$X87,$D:$D,判定!$L$2)&gt;0,COUNTIFS($C:$C,$X87,$D:$D,判定!$L$3)&gt;0,COUNTIFS($C:$C,$X87,$D:$D,判定!$L$4)&gt;0),1,0)+IF(COUNTIFS($C:$C,$X87,$D:$D,判定!$L$7)&gt;0,1,0)+IF(COUNTIFS($C:$C,$X87,$D:$D,判定!$L$8)&gt;0,1,0)+IF(COUNTIFS($C:$C,$X87,$D:$D,判定!$L$9)&gt;0,1,0)</f>
        <v>0</v>
      </c>
      <c r="Z87" s="221" t="str">
        <f>IF(Y87&gt;0,Y87*100+COUNTIF($Y$15:Y87,Y87),"")</f>
        <v/>
      </c>
      <c r="AA87" s="221" t="e">
        <f t="shared" si="4"/>
        <v>#NUM!</v>
      </c>
      <c r="AB87" s="226"/>
      <c r="AC87" s="226"/>
      <c r="AD87" s="226"/>
      <c r="AE87" s="226"/>
      <c r="AF87" s="226"/>
    </row>
    <row r="88" spans="1:32" x14ac:dyDescent="0.2">
      <c r="A88" s="221" t="str">
        <f>IF($D88="","",COUNTA($D$15:$D88))</f>
        <v/>
      </c>
      <c r="B88" s="235"/>
      <c r="C88" s="235"/>
      <c r="D88" s="235"/>
      <c r="E88" s="337"/>
      <c r="F88" s="337"/>
      <c r="G88" s="337"/>
      <c r="H88" s="338"/>
      <c r="I88" s="339" t="str">
        <f t="shared" si="0"/>
        <v/>
      </c>
      <c r="J88" s="236" t="str">
        <f ca="1">IFERROR(VLOOKUP($G88,INDIRECT("判定!"&amp;ADDRESS(ROW(判定!$N$2)+1,COLUMN(判定!$N$2)+MATCH($D88,判定!$N$2:$W$2,0)-1,4,1)&amp;":"&amp;ADDRESS(ROW(判定!$O$2)+4,COLUMN(判定!$N$2)+MATCH($D88,判定!$N$2:$W$2,0),4,1),1),2,1),"")</f>
        <v/>
      </c>
      <c r="K88" s="340"/>
      <c r="L88" s="341"/>
      <c r="M88" s="330"/>
      <c r="N88" s="330"/>
      <c r="O88" s="331"/>
      <c r="P88" s="237"/>
      <c r="Q88" s="234" t="str">
        <f>IF(COUNTIF(判定!$L$2:$L$9,$D88)&gt;0,$P88,"")</f>
        <v/>
      </c>
      <c r="R88" s="234" t="str">
        <f>IF(COUNTIF(判定!$L$10:$L$20,$D88)&gt;0,$P88,"")</f>
        <v/>
      </c>
      <c r="S88" s="234" t="str">
        <f>IF(COUNTIF(判定!$L$21,$D88)&gt;0,$P88,"")</f>
        <v/>
      </c>
      <c r="T88" s="341"/>
      <c r="V88" s="226"/>
      <c r="W88" s="221" t="str">
        <f>IF(OR($C88=判定!$K$2,$C88=判定!$K$3,$C88=判定!$K$4,$C88=判定!$K$5),"",IF(COUNTIF($C$15:$C88,$C88)=1,ROW(),""))</f>
        <v/>
      </c>
      <c r="X88" s="221">
        <f t="shared" si="3"/>
        <v>0</v>
      </c>
      <c r="Y88" s="221">
        <f>IF(COUNTIF($C:$C,$X88)&gt;0,1,0)+IF(OR(COUNTIFS($C:$C,$X88,$D:$D,判定!$L$2)&gt;0,COUNTIFS($C:$C,$X88,$D:$D,判定!$L$3)&gt;0,COUNTIFS($C:$C,$X88,$D:$D,判定!$L$4)&gt;0),1,0)+IF(COUNTIFS($C:$C,$X88,$D:$D,判定!$L$7)&gt;0,1,0)+IF(COUNTIFS($C:$C,$X88,$D:$D,判定!$L$8)&gt;0,1,0)+IF(COUNTIFS($C:$C,$X88,$D:$D,判定!$L$9)&gt;0,1,0)</f>
        <v>0</v>
      </c>
      <c r="Z88" s="221" t="str">
        <f>IF(Y88&gt;0,Y88*100+COUNTIF($Y$15:Y88,Y88),"")</f>
        <v/>
      </c>
      <c r="AA88" s="221" t="e">
        <f t="shared" si="4"/>
        <v>#NUM!</v>
      </c>
      <c r="AB88" s="226"/>
      <c r="AC88" s="226"/>
      <c r="AD88" s="226"/>
      <c r="AE88" s="226"/>
      <c r="AF88" s="226"/>
    </row>
    <row r="89" spans="1:32" x14ac:dyDescent="0.2">
      <c r="A89" s="221" t="str">
        <f>IF($D89="","",COUNTA($D$15:$D89))</f>
        <v/>
      </c>
      <c r="B89" s="235"/>
      <c r="C89" s="235"/>
      <c r="D89" s="235"/>
      <c r="E89" s="337"/>
      <c r="F89" s="337"/>
      <c r="G89" s="337"/>
      <c r="H89" s="338"/>
      <c r="I89" s="339" t="str">
        <f t="shared" si="0"/>
        <v/>
      </c>
      <c r="J89" s="236" t="str">
        <f ca="1">IFERROR(VLOOKUP($G89,INDIRECT("判定!"&amp;ADDRESS(ROW(判定!$N$2)+1,COLUMN(判定!$N$2)+MATCH($D89,判定!$N$2:$W$2,0)-1,4,1)&amp;":"&amp;ADDRESS(ROW(判定!$O$2)+4,COLUMN(判定!$N$2)+MATCH($D89,判定!$N$2:$W$2,0),4,1),1),2,1),"")</f>
        <v/>
      </c>
      <c r="K89" s="340"/>
      <c r="L89" s="341"/>
      <c r="M89" s="330"/>
      <c r="N89" s="330"/>
      <c r="O89" s="331"/>
      <c r="P89" s="237"/>
      <c r="Q89" s="234" t="str">
        <f>IF(COUNTIF(判定!$L$2:$L$9,$D89)&gt;0,$P89,"")</f>
        <v/>
      </c>
      <c r="R89" s="234" t="str">
        <f>IF(COUNTIF(判定!$L$10:$L$20,$D89)&gt;0,$P89,"")</f>
        <v/>
      </c>
      <c r="S89" s="234" t="str">
        <f>IF(COUNTIF(判定!$L$21,$D89)&gt;0,$P89,"")</f>
        <v/>
      </c>
      <c r="T89" s="341"/>
      <c r="V89" s="226"/>
      <c r="W89" s="221" t="str">
        <f>IF(OR($C89=判定!$K$2,$C89=判定!$K$3,$C89=判定!$K$4,$C89=判定!$K$5),"",IF(COUNTIF($C$15:$C89,$C89)=1,ROW(),""))</f>
        <v/>
      </c>
      <c r="X89" s="221">
        <f t="shared" si="3"/>
        <v>0</v>
      </c>
      <c r="Y89" s="221">
        <f>IF(COUNTIF($C:$C,$X89)&gt;0,1,0)+IF(OR(COUNTIFS($C:$C,$X89,$D:$D,判定!$L$2)&gt;0,COUNTIFS($C:$C,$X89,$D:$D,判定!$L$3)&gt;0,COUNTIFS($C:$C,$X89,$D:$D,判定!$L$4)&gt;0),1,0)+IF(COUNTIFS($C:$C,$X89,$D:$D,判定!$L$7)&gt;0,1,0)+IF(COUNTIFS($C:$C,$X89,$D:$D,判定!$L$8)&gt;0,1,0)+IF(COUNTIFS($C:$C,$X89,$D:$D,判定!$L$9)&gt;0,1,0)</f>
        <v>0</v>
      </c>
      <c r="Z89" s="221" t="str">
        <f>IF(Y89&gt;0,Y89*100+COUNTIF($Y$15:Y89,Y89),"")</f>
        <v/>
      </c>
      <c r="AA89" s="221" t="e">
        <f t="shared" si="4"/>
        <v>#NUM!</v>
      </c>
      <c r="AB89" s="226"/>
      <c r="AC89" s="226"/>
      <c r="AD89" s="226"/>
      <c r="AE89" s="226"/>
      <c r="AF89" s="226"/>
    </row>
    <row r="90" spans="1:32" x14ac:dyDescent="0.2">
      <c r="A90" s="221" t="str">
        <f>IF($D90="","",COUNTA($D$15:$D90))</f>
        <v/>
      </c>
      <c r="B90" s="235"/>
      <c r="C90" s="235"/>
      <c r="D90" s="235"/>
      <c r="E90" s="337"/>
      <c r="F90" s="337"/>
      <c r="G90" s="337"/>
      <c r="H90" s="338"/>
      <c r="I90" s="339" t="str">
        <f t="shared" si="0"/>
        <v/>
      </c>
      <c r="J90" s="236" t="str">
        <f ca="1">IFERROR(VLOOKUP($G90,INDIRECT("判定!"&amp;ADDRESS(ROW(判定!$N$2)+1,COLUMN(判定!$N$2)+MATCH($D90,判定!$N$2:$W$2,0)-1,4,1)&amp;":"&amp;ADDRESS(ROW(判定!$O$2)+4,COLUMN(判定!$N$2)+MATCH($D90,判定!$N$2:$W$2,0),4,1),1),2,1),"")</f>
        <v/>
      </c>
      <c r="K90" s="340"/>
      <c r="L90" s="341"/>
      <c r="M90" s="330"/>
      <c r="N90" s="330"/>
      <c r="O90" s="331"/>
      <c r="P90" s="237"/>
      <c r="Q90" s="234" t="str">
        <f>IF(COUNTIF(判定!$L$2:$L$9,$D90)&gt;0,$P90,"")</f>
        <v/>
      </c>
      <c r="R90" s="234" t="str">
        <f>IF(COUNTIF(判定!$L$10:$L$20,$D90)&gt;0,$P90,"")</f>
        <v/>
      </c>
      <c r="S90" s="234" t="str">
        <f>IF(COUNTIF(判定!$L$21,$D90)&gt;0,$P90,"")</f>
        <v/>
      </c>
      <c r="T90" s="341"/>
      <c r="V90" s="226"/>
      <c r="W90" s="221" t="str">
        <f>IF(OR($C90=判定!$K$2,$C90=判定!$K$3,$C90=判定!$K$4,$C90=判定!$K$5),"",IF(COUNTIF($C$15:$C90,$C90)=1,ROW(),""))</f>
        <v/>
      </c>
      <c r="X90" s="221">
        <f t="shared" si="3"/>
        <v>0</v>
      </c>
      <c r="Y90" s="221">
        <f>IF(COUNTIF($C:$C,$X90)&gt;0,1,0)+IF(OR(COUNTIFS($C:$C,$X90,$D:$D,判定!$L$2)&gt;0,COUNTIFS($C:$C,$X90,$D:$D,判定!$L$3)&gt;0,COUNTIFS($C:$C,$X90,$D:$D,判定!$L$4)&gt;0),1,0)+IF(COUNTIFS($C:$C,$X90,$D:$D,判定!$L$7)&gt;0,1,0)+IF(COUNTIFS($C:$C,$X90,$D:$D,判定!$L$8)&gt;0,1,0)+IF(COUNTIFS($C:$C,$X90,$D:$D,判定!$L$9)&gt;0,1,0)</f>
        <v>0</v>
      </c>
      <c r="Z90" s="221" t="str">
        <f>IF(Y90&gt;0,Y90*100+COUNTIF($Y$15:Y90,Y90),"")</f>
        <v/>
      </c>
      <c r="AA90" s="221" t="e">
        <f t="shared" si="4"/>
        <v>#NUM!</v>
      </c>
      <c r="AB90" s="226"/>
      <c r="AC90" s="226"/>
      <c r="AD90" s="226"/>
      <c r="AE90" s="226"/>
      <c r="AF90" s="226"/>
    </row>
    <row r="91" spans="1:32" x14ac:dyDescent="0.2">
      <c r="A91" s="221" t="str">
        <f>IF($D91="","",COUNTA($D$15:$D91))</f>
        <v/>
      </c>
      <c r="B91" s="235"/>
      <c r="C91" s="235"/>
      <c r="D91" s="235"/>
      <c r="E91" s="337"/>
      <c r="F91" s="337"/>
      <c r="G91" s="337"/>
      <c r="H91" s="338"/>
      <c r="I91" s="339" t="str">
        <f t="shared" si="0"/>
        <v/>
      </c>
      <c r="J91" s="236" t="str">
        <f ca="1">IFERROR(VLOOKUP($G91,INDIRECT("判定!"&amp;ADDRESS(ROW(判定!$N$2)+1,COLUMN(判定!$N$2)+MATCH($D91,判定!$N$2:$W$2,0)-1,4,1)&amp;":"&amp;ADDRESS(ROW(判定!$O$2)+4,COLUMN(判定!$N$2)+MATCH($D91,判定!$N$2:$W$2,0),4,1),1),2,1),"")</f>
        <v/>
      </c>
      <c r="K91" s="340"/>
      <c r="L91" s="341"/>
      <c r="M91" s="330"/>
      <c r="N91" s="330"/>
      <c r="O91" s="331"/>
      <c r="P91" s="237"/>
      <c r="Q91" s="234" t="str">
        <f>IF(COUNTIF(判定!$L$2:$L$9,$D91)&gt;0,$P91,"")</f>
        <v/>
      </c>
      <c r="R91" s="234" t="str">
        <f>IF(COUNTIF(判定!$L$10:$L$20,$D91)&gt;0,$P91,"")</f>
        <v/>
      </c>
      <c r="S91" s="234" t="str">
        <f>IF(COUNTIF(判定!$L$21,$D91)&gt;0,$P91,"")</f>
        <v/>
      </c>
      <c r="T91" s="341"/>
      <c r="V91" s="226"/>
      <c r="W91" s="221" t="str">
        <f>IF(OR($C91=判定!$K$2,$C91=判定!$K$3,$C91=判定!$K$4,$C91=判定!$K$5),"",IF(COUNTIF($C$15:$C91,$C91)=1,ROW(),""))</f>
        <v/>
      </c>
      <c r="X91" s="221">
        <f t="shared" si="3"/>
        <v>0</v>
      </c>
      <c r="Y91" s="221">
        <f>IF(COUNTIF($C:$C,$X91)&gt;0,1,0)+IF(OR(COUNTIFS($C:$C,$X91,$D:$D,判定!$L$2)&gt;0,COUNTIFS($C:$C,$X91,$D:$D,判定!$L$3)&gt;0,COUNTIFS($C:$C,$X91,$D:$D,判定!$L$4)&gt;0),1,0)+IF(COUNTIFS($C:$C,$X91,$D:$D,判定!$L$7)&gt;0,1,0)+IF(COUNTIFS($C:$C,$X91,$D:$D,判定!$L$8)&gt;0,1,0)+IF(COUNTIFS($C:$C,$X91,$D:$D,判定!$L$9)&gt;0,1,0)</f>
        <v>0</v>
      </c>
      <c r="Z91" s="221" t="str">
        <f>IF(Y91&gt;0,Y91*100+COUNTIF($Y$15:Y91,Y91),"")</f>
        <v/>
      </c>
      <c r="AA91" s="221" t="e">
        <f t="shared" si="4"/>
        <v>#NUM!</v>
      </c>
      <c r="AB91" s="226"/>
      <c r="AC91" s="226"/>
      <c r="AD91" s="226"/>
      <c r="AE91" s="226"/>
      <c r="AF91" s="226"/>
    </row>
    <row r="92" spans="1:32" x14ac:dyDescent="0.2">
      <c r="A92" s="221" t="str">
        <f>IF($D92="","",COUNTA($D$15:$D92))</f>
        <v/>
      </c>
      <c r="B92" s="235"/>
      <c r="C92" s="235"/>
      <c r="D92" s="235"/>
      <c r="E92" s="337"/>
      <c r="F92" s="337"/>
      <c r="G92" s="337"/>
      <c r="H92" s="338"/>
      <c r="I92" s="339" t="str">
        <f t="shared" si="0"/>
        <v/>
      </c>
      <c r="J92" s="236" t="str">
        <f ca="1">IFERROR(VLOOKUP($G92,INDIRECT("判定!"&amp;ADDRESS(ROW(判定!$N$2)+1,COLUMN(判定!$N$2)+MATCH($D92,判定!$N$2:$W$2,0)-1,4,1)&amp;":"&amp;ADDRESS(ROW(判定!$O$2)+4,COLUMN(判定!$N$2)+MATCH($D92,判定!$N$2:$W$2,0),4,1),1),2,1),"")</f>
        <v/>
      </c>
      <c r="K92" s="340"/>
      <c r="L92" s="341"/>
      <c r="M92" s="330"/>
      <c r="N92" s="330"/>
      <c r="O92" s="331"/>
      <c r="P92" s="237"/>
      <c r="Q92" s="234" t="str">
        <f>IF(COUNTIF(判定!$L$2:$L$9,$D92)&gt;0,$P92,"")</f>
        <v/>
      </c>
      <c r="R92" s="234" t="str">
        <f>IF(COUNTIF(判定!$L$10:$L$20,$D92)&gt;0,$P92,"")</f>
        <v/>
      </c>
      <c r="S92" s="234" t="str">
        <f>IF(COUNTIF(判定!$L$21,$D92)&gt;0,$P92,"")</f>
        <v/>
      </c>
      <c r="T92" s="341"/>
      <c r="V92" s="226"/>
      <c r="W92" s="221" t="str">
        <f>IF(OR($C92=判定!$K$2,$C92=判定!$K$3,$C92=判定!$K$4,$C92=判定!$K$5),"",IF(COUNTIF($C$15:$C92,$C92)=1,ROW(),""))</f>
        <v/>
      </c>
      <c r="X92" s="221">
        <f t="shared" si="3"/>
        <v>0</v>
      </c>
      <c r="Y92" s="221">
        <f>IF(COUNTIF($C:$C,$X92)&gt;0,1,0)+IF(OR(COUNTIFS($C:$C,$X92,$D:$D,判定!$L$2)&gt;0,COUNTIFS($C:$C,$X92,$D:$D,判定!$L$3)&gt;0,COUNTIFS($C:$C,$X92,$D:$D,判定!$L$4)&gt;0),1,0)+IF(COUNTIFS($C:$C,$X92,$D:$D,判定!$L$7)&gt;0,1,0)+IF(COUNTIFS($C:$C,$X92,$D:$D,判定!$L$8)&gt;0,1,0)+IF(COUNTIFS($C:$C,$X92,$D:$D,判定!$L$9)&gt;0,1,0)</f>
        <v>0</v>
      </c>
      <c r="Z92" s="221" t="str">
        <f>IF(Y92&gt;0,Y92*100+COUNTIF($Y$15:Y92,Y92),"")</f>
        <v/>
      </c>
      <c r="AA92" s="221" t="e">
        <f t="shared" si="4"/>
        <v>#NUM!</v>
      </c>
      <c r="AB92" s="226"/>
      <c r="AC92" s="226"/>
      <c r="AD92" s="226"/>
      <c r="AE92" s="226"/>
      <c r="AF92" s="226"/>
    </row>
    <row r="93" spans="1:32" x14ac:dyDescent="0.2">
      <c r="A93" s="221" t="str">
        <f>IF($D93="","",COUNTA($D$15:$D93))</f>
        <v/>
      </c>
      <c r="B93" s="235"/>
      <c r="C93" s="235"/>
      <c r="D93" s="235"/>
      <c r="E93" s="337"/>
      <c r="F93" s="337"/>
      <c r="G93" s="337"/>
      <c r="H93" s="338"/>
      <c r="I93" s="339" t="str">
        <f t="shared" si="0"/>
        <v/>
      </c>
      <c r="J93" s="236" t="str">
        <f ca="1">IFERROR(VLOOKUP($G93,INDIRECT("判定!"&amp;ADDRESS(ROW(判定!$N$2)+1,COLUMN(判定!$N$2)+MATCH($D93,判定!$N$2:$W$2,0)-1,4,1)&amp;":"&amp;ADDRESS(ROW(判定!$O$2)+4,COLUMN(判定!$N$2)+MATCH($D93,判定!$N$2:$W$2,0),4,1),1),2,1),"")</f>
        <v/>
      </c>
      <c r="K93" s="340"/>
      <c r="L93" s="341"/>
      <c r="M93" s="330"/>
      <c r="N93" s="330"/>
      <c r="O93" s="331"/>
      <c r="P93" s="237"/>
      <c r="Q93" s="234" t="str">
        <f>IF(COUNTIF(判定!$L$2:$L$9,$D93)&gt;0,$P93,"")</f>
        <v/>
      </c>
      <c r="R93" s="234" t="str">
        <f>IF(COUNTIF(判定!$L$10:$L$20,$D93)&gt;0,$P93,"")</f>
        <v/>
      </c>
      <c r="S93" s="234" t="str">
        <f>IF(COUNTIF(判定!$L$21,$D93)&gt;0,$P93,"")</f>
        <v/>
      </c>
      <c r="T93" s="341"/>
      <c r="V93" s="226"/>
      <c r="W93" s="221" t="str">
        <f>IF(OR($C93=判定!$K$2,$C93=判定!$K$3,$C93=判定!$K$4,$C93=判定!$K$5),"",IF(COUNTIF($C$15:$C93,$C93)=1,ROW(),""))</f>
        <v/>
      </c>
      <c r="X93" s="221">
        <f t="shared" si="3"/>
        <v>0</v>
      </c>
      <c r="Y93" s="221">
        <f>IF(COUNTIF($C:$C,$X93)&gt;0,1,0)+IF(OR(COUNTIFS($C:$C,$X93,$D:$D,判定!$L$2)&gt;0,COUNTIFS($C:$C,$X93,$D:$D,判定!$L$3)&gt;0,COUNTIFS($C:$C,$X93,$D:$D,判定!$L$4)&gt;0),1,0)+IF(COUNTIFS($C:$C,$X93,$D:$D,判定!$L$7)&gt;0,1,0)+IF(COUNTIFS($C:$C,$X93,$D:$D,判定!$L$8)&gt;0,1,0)+IF(COUNTIFS($C:$C,$X93,$D:$D,判定!$L$9)&gt;0,1,0)</f>
        <v>0</v>
      </c>
      <c r="Z93" s="221" t="str">
        <f>IF(Y93&gt;0,Y93*100+COUNTIF($Y$15:Y93,Y93),"")</f>
        <v/>
      </c>
      <c r="AA93" s="221" t="e">
        <f t="shared" si="4"/>
        <v>#NUM!</v>
      </c>
      <c r="AB93" s="226"/>
      <c r="AC93" s="226"/>
      <c r="AD93" s="226"/>
      <c r="AE93" s="226"/>
      <c r="AF93" s="226"/>
    </row>
    <row r="94" spans="1:32" x14ac:dyDescent="0.2">
      <c r="A94" s="221" t="str">
        <f>IF($D94="","",COUNTA($D$15:$D94))</f>
        <v/>
      </c>
      <c r="B94" s="235"/>
      <c r="C94" s="235"/>
      <c r="D94" s="235"/>
      <c r="E94" s="337"/>
      <c r="F94" s="337"/>
      <c r="G94" s="337"/>
      <c r="H94" s="338"/>
      <c r="I94" s="339" t="str">
        <f t="shared" si="0"/>
        <v/>
      </c>
      <c r="J94" s="236" t="str">
        <f ca="1">IFERROR(VLOOKUP($G94,INDIRECT("判定!"&amp;ADDRESS(ROW(判定!$N$2)+1,COLUMN(判定!$N$2)+MATCH($D94,判定!$N$2:$W$2,0)-1,4,1)&amp;":"&amp;ADDRESS(ROW(判定!$O$2)+4,COLUMN(判定!$N$2)+MATCH($D94,判定!$N$2:$W$2,0),4,1),1),2,1),"")</f>
        <v/>
      </c>
      <c r="K94" s="340"/>
      <c r="L94" s="341"/>
      <c r="M94" s="330"/>
      <c r="N94" s="330"/>
      <c r="O94" s="331"/>
      <c r="P94" s="237"/>
      <c r="Q94" s="234" t="str">
        <f>IF(COUNTIF(判定!$L$2:$L$9,$D94)&gt;0,$P94,"")</f>
        <v/>
      </c>
      <c r="R94" s="234" t="str">
        <f>IF(COUNTIF(判定!$L$10:$L$20,$D94)&gt;0,$P94,"")</f>
        <v/>
      </c>
      <c r="S94" s="234" t="str">
        <f>IF(COUNTIF(判定!$L$21,$D94)&gt;0,$P94,"")</f>
        <v/>
      </c>
      <c r="T94" s="341"/>
      <c r="V94" s="226"/>
      <c r="W94" s="221" t="str">
        <f>IF(OR($C94=判定!$K$2,$C94=判定!$K$3,$C94=判定!$K$4,$C94=判定!$K$5),"",IF(COUNTIF($C$15:$C94,$C94)=1,ROW(),""))</f>
        <v/>
      </c>
      <c r="X94" s="221">
        <f t="shared" si="3"/>
        <v>0</v>
      </c>
      <c r="Y94" s="221">
        <f>IF(COUNTIF($C:$C,$X94)&gt;0,1,0)+IF(OR(COUNTIFS($C:$C,$X94,$D:$D,判定!$L$2)&gt;0,COUNTIFS($C:$C,$X94,$D:$D,判定!$L$3)&gt;0,COUNTIFS($C:$C,$X94,$D:$D,判定!$L$4)&gt;0),1,0)+IF(COUNTIFS($C:$C,$X94,$D:$D,判定!$L$7)&gt;0,1,0)+IF(COUNTIFS($C:$C,$X94,$D:$D,判定!$L$8)&gt;0,1,0)+IF(COUNTIFS($C:$C,$X94,$D:$D,判定!$L$9)&gt;0,1,0)</f>
        <v>0</v>
      </c>
      <c r="Z94" s="221" t="str">
        <f>IF(Y94&gt;0,Y94*100+COUNTIF($Y$15:Y94,Y94),"")</f>
        <v/>
      </c>
      <c r="AA94" s="221" t="e">
        <f t="shared" si="4"/>
        <v>#NUM!</v>
      </c>
      <c r="AB94" s="226"/>
      <c r="AC94" s="226"/>
      <c r="AD94" s="226"/>
      <c r="AE94" s="226"/>
      <c r="AF94" s="226"/>
    </row>
    <row r="95" spans="1:32" x14ac:dyDescent="0.2">
      <c r="A95" s="221" t="str">
        <f>IF($D95="","",COUNTA($D$15:$D95))</f>
        <v/>
      </c>
      <c r="B95" s="235"/>
      <c r="C95" s="235"/>
      <c r="D95" s="235"/>
      <c r="E95" s="337"/>
      <c r="F95" s="337"/>
      <c r="G95" s="337"/>
      <c r="H95" s="338"/>
      <c r="I95" s="339" t="str">
        <f t="shared" si="0"/>
        <v/>
      </c>
      <c r="J95" s="236" t="str">
        <f ca="1">IFERROR(VLOOKUP($G95,INDIRECT("判定!"&amp;ADDRESS(ROW(判定!$N$2)+1,COLUMN(判定!$N$2)+MATCH($D95,判定!$N$2:$W$2,0)-1,4,1)&amp;":"&amp;ADDRESS(ROW(判定!$O$2)+4,COLUMN(判定!$N$2)+MATCH($D95,判定!$N$2:$W$2,0),4,1),1),2,1),"")</f>
        <v/>
      </c>
      <c r="K95" s="340"/>
      <c r="L95" s="341"/>
      <c r="M95" s="330"/>
      <c r="N95" s="330"/>
      <c r="O95" s="331"/>
      <c r="P95" s="237"/>
      <c r="Q95" s="234" t="str">
        <f>IF(COUNTIF(判定!$L$2:$L$9,$D95)&gt;0,$P95,"")</f>
        <v/>
      </c>
      <c r="R95" s="234" t="str">
        <f>IF(COUNTIF(判定!$L$10:$L$20,$D95)&gt;0,$P95,"")</f>
        <v/>
      </c>
      <c r="S95" s="234" t="str">
        <f>IF(COUNTIF(判定!$L$21,$D95)&gt;0,$P95,"")</f>
        <v/>
      </c>
      <c r="T95" s="341"/>
      <c r="V95" s="226"/>
      <c r="W95" s="221" t="str">
        <f>IF(OR($C95=判定!$K$2,$C95=判定!$K$3,$C95=判定!$K$4,$C95=判定!$K$5),"",IF(COUNTIF($C$15:$C95,$C95)=1,ROW(),""))</f>
        <v/>
      </c>
      <c r="X95" s="221">
        <f t="shared" si="3"/>
        <v>0</v>
      </c>
      <c r="Y95" s="221">
        <f>IF(COUNTIF($C:$C,$X95)&gt;0,1,0)+IF(OR(COUNTIFS($C:$C,$X95,$D:$D,判定!$L$2)&gt;0,COUNTIFS($C:$C,$X95,$D:$D,判定!$L$3)&gt;0,COUNTIFS($C:$C,$X95,$D:$D,判定!$L$4)&gt;0),1,0)+IF(COUNTIFS($C:$C,$X95,$D:$D,判定!$L$7)&gt;0,1,0)+IF(COUNTIFS($C:$C,$X95,$D:$D,判定!$L$8)&gt;0,1,0)+IF(COUNTIFS($C:$C,$X95,$D:$D,判定!$L$9)&gt;0,1,0)</f>
        <v>0</v>
      </c>
      <c r="Z95" s="221" t="str">
        <f>IF(Y95&gt;0,Y95*100+COUNTIF($Y$15:Y95,Y95),"")</f>
        <v/>
      </c>
      <c r="AA95" s="221" t="e">
        <f t="shared" si="4"/>
        <v>#NUM!</v>
      </c>
      <c r="AB95" s="226"/>
      <c r="AC95" s="226"/>
      <c r="AD95" s="226"/>
      <c r="AE95" s="226"/>
      <c r="AF95" s="226"/>
    </row>
    <row r="96" spans="1:32" x14ac:dyDescent="0.2">
      <c r="A96" s="221" t="str">
        <f>IF($D96="","",COUNTA($D$15:$D96))</f>
        <v/>
      </c>
      <c r="B96" s="235"/>
      <c r="C96" s="235"/>
      <c r="D96" s="235"/>
      <c r="E96" s="337"/>
      <c r="F96" s="337"/>
      <c r="G96" s="337"/>
      <c r="H96" s="338"/>
      <c r="I96" s="339" t="str">
        <f t="shared" si="0"/>
        <v/>
      </c>
      <c r="J96" s="236" t="str">
        <f ca="1">IFERROR(VLOOKUP($G96,INDIRECT("判定!"&amp;ADDRESS(ROW(判定!$N$2)+1,COLUMN(判定!$N$2)+MATCH($D96,判定!$N$2:$W$2,0)-1,4,1)&amp;":"&amp;ADDRESS(ROW(判定!$O$2)+4,COLUMN(判定!$N$2)+MATCH($D96,判定!$N$2:$W$2,0),4,1),1),2,1),"")</f>
        <v/>
      </c>
      <c r="K96" s="340"/>
      <c r="L96" s="341"/>
      <c r="M96" s="330"/>
      <c r="N96" s="330"/>
      <c r="O96" s="331"/>
      <c r="P96" s="237"/>
      <c r="Q96" s="234" t="str">
        <f>IF(COUNTIF(判定!$L$2:$L$9,$D96)&gt;0,$P96,"")</f>
        <v/>
      </c>
      <c r="R96" s="234" t="str">
        <f>IF(COUNTIF(判定!$L$10:$L$20,$D96)&gt;0,$P96,"")</f>
        <v/>
      </c>
      <c r="S96" s="234" t="str">
        <f>IF(COUNTIF(判定!$L$21,$D96)&gt;0,$P96,"")</f>
        <v/>
      </c>
      <c r="T96" s="341"/>
      <c r="V96" s="226"/>
      <c r="W96" s="221" t="str">
        <f>IF(OR($C96=判定!$K$2,$C96=判定!$K$3,$C96=判定!$K$4,$C96=判定!$K$5),"",IF(COUNTIF($C$15:$C96,$C96)=1,ROW(),""))</f>
        <v/>
      </c>
      <c r="X96" s="221">
        <f t="shared" si="3"/>
        <v>0</v>
      </c>
      <c r="Y96" s="221">
        <f>IF(COUNTIF($C:$C,$X96)&gt;0,1,0)+IF(OR(COUNTIFS($C:$C,$X96,$D:$D,判定!$L$2)&gt;0,COUNTIFS($C:$C,$X96,$D:$D,判定!$L$3)&gt;0,COUNTIFS($C:$C,$X96,$D:$D,判定!$L$4)&gt;0),1,0)+IF(COUNTIFS($C:$C,$X96,$D:$D,判定!$L$7)&gt;0,1,0)+IF(COUNTIFS($C:$C,$X96,$D:$D,判定!$L$8)&gt;0,1,0)+IF(COUNTIFS($C:$C,$X96,$D:$D,判定!$L$9)&gt;0,1,0)</f>
        <v>0</v>
      </c>
      <c r="Z96" s="221" t="str">
        <f>IF(Y96&gt;0,Y96*100+COUNTIF($Y$15:Y96,Y96),"")</f>
        <v/>
      </c>
      <c r="AA96" s="221" t="e">
        <f t="shared" si="4"/>
        <v>#NUM!</v>
      </c>
      <c r="AB96" s="226"/>
      <c r="AC96" s="226"/>
      <c r="AD96" s="226"/>
      <c r="AE96" s="226"/>
      <c r="AF96" s="226"/>
    </row>
    <row r="97" spans="1:32" x14ac:dyDescent="0.2">
      <c r="A97" s="221" t="str">
        <f>IF($D97="","",COUNTA($D$15:$D97))</f>
        <v/>
      </c>
      <c r="B97" s="235"/>
      <c r="C97" s="235"/>
      <c r="D97" s="235"/>
      <c r="E97" s="337"/>
      <c r="F97" s="337"/>
      <c r="G97" s="337"/>
      <c r="H97" s="338"/>
      <c r="I97" s="339" t="str">
        <f t="shared" si="0"/>
        <v/>
      </c>
      <c r="J97" s="236" t="str">
        <f ca="1">IFERROR(VLOOKUP($G97,INDIRECT("判定!"&amp;ADDRESS(ROW(判定!$N$2)+1,COLUMN(判定!$N$2)+MATCH($D97,判定!$N$2:$W$2,0)-1,4,1)&amp;":"&amp;ADDRESS(ROW(判定!$O$2)+4,COLUMN(判定!$N$2)+MATCH($D97,判定!$N$2:$W$2,0),4,1),1),2,1),"")</f>
        <v/>
      </c>
      <c r="K97" s="340"/>
      <c r="L97" s="341"/>
      <c r="M97" s="330"/>
      <c r="N97" s="330"/>
      <c r="O97" s="331"/>
      <c r="P97" s="237"/>
      <c r="Q97" s="234" t="str">
        <f>IF(COUNTIF(判定!$L$2:$L$9,$D97)&gt;0,$P97,"")</f>
        <v/>
      </c>
      <c r="R97" s="234" t="str">
        <f>IF(COUNTIF(判定!$L$10:$L$20,$D97)&gt;0,$P97,"")</f>
        <v/>
      </c>
      <c r="S97" s="234" t="str">
        <f>IF(COUNTIF(判定!$L$21,$D97)&gt;0,$P97,"")</f>
        <v/>
      </c>
      <c r="T97" s="341"/>
      <c r="V97" s="226"/>
      <c r="W97" s="221" t="str">
        <f>IF(OR($C97=判定!$K$2,$C97=判定!$K$3,$C97=判定!$K$4,$C97=判定!$K$5),"",IF(COUNTIF($C$15:$C97,$C97)=1,ROW(),""))</f>
        <v/>
      </c>
      <c r="X97" s="221">
        <f t="shared" si="3"/>
        <v>0</v>
      </c>
      <c r="Y97" s="221">
        <f>IF(COUNTIF($C:$C,$X97)&gt;0,1,0)+IF(OR(COUNTIFS($C:$C,$X97,$D:$D,判定!$L$2)&gt;0,COUNTIFS($C:$C,$X97,$D:$D,判定!$L$3)&gt;0,COUNTIFS($C:$C,$X97,$D:$D,判定!$L$4)&gt;0),1,0)+IF(COUNTIFS($C:$C,$X97,$D:$D,判定!$L$7)&gt;0,1,0)+IF(COUNTIFS($C:$C,$X97,$D:$D,判定!$L$8)&gt;0,1,0)+IF(COUNTIFS($C:$C,$X97,$D:$D,判定!$L$9)&gt;0,1,0)</f>
        <v>0</v>
      </c>
      <c r="Z97" s="221" t="str">
        <f>IF(Y97&gt;0,Y97*100+COUNTIF($Y$15:Y97,Y97),"")</f>
        <v/>
      </c>
      <c r="AA97" s="221" t="e">
        <f t="shared" si="4"/>
        <v>#NUM!</v>
      </c>
      <c r="AB97" s="226"/>
      <c r="AC97" s="226"/>
      <c r="AD97" s="226"/>
      <c r="AE97" s="226"/>
      <c r="AF97" s="226"/>
    </row>
    <row r="98" spans="1:32" s="239" customFormat="1" x14ac:dyDescent="0.2">
      <c r="A98" s="221" t="str">
        <f>IF($D98="","",COUNTA($D$15:$D98))</f>
        <v/>
      </c>
      <c r="B98" s="238"/>
      <c r="C98" s="238"/>
      <c r="D98" s="238"/>
      <c r="E98" s="337"/>
      <c r="F98" s="337"/>
      <c r="G98" s="337"/>
      <c r="H98" s="338"/>
      <c r="I98" s="339" t="str">
        <f t="shared" si="0"/>
        <v/>
      </c>
      <c r="J98" s="236" t="str">
        <f ca="1">IFERROR(VLOOKUP($G98,INDIRECT("判定!"&amp;ADDRESS(ROW(判定!$N$2)+1,COLUMN(判定!$N$2)+MATCH($D98,判定!$N$2:$W$2,0)-1,4,1)&amp;":"&amp;ADDRESS(ROW(判定!$O$2)+4,COLUMN(判定!$N$2)+MATCH($D98,判定!$N$2:$W$2,0),4,1),1),2,1),"")</f>
        <v/>
      </c>
      <c r="K98" s="342"/>
      <c r="L98" s="343"/>
      <c r="M98" s="332"/>
      <c r="N98" s="332"/>
      <c r="O98" s="333"/>
      <c r="P98" s="237"/>
      <c r="Q98" s="234" t="str">
        <f>IF(COUNTIF(判定!$L$2:$L$9,$D98)&gt;0,$P98,"")</f>
        <v/>
      </c>
      <c r="R98" s="234" t="str">
        <f>IF(COUNTIF(判定!$L$10:$L$20,$D98)&gt;0,$P98,"")</f>
        <v/>
      </c>
      <c r="S98" s="234" t="str">
        <f>IF(COUNTIF(判定!$L$21,$D98)&gt;0,$P98,"")</f>
        <v/>
      </c>
      <c r="T98" s="343"/>
      <c r="V98" s="240"/>
      <c r="W98" s="221" t="str">
        <f>IF(OR($C98=判定!$K$2,$C98=判定!$K$3,$C98=判定!$K$4,$C98=判定!$K$5),"",IF(COUNTIF($C$15:$C98,$C98)=1,ROW(),""))</f>
        <v/>
      </c>
      <c r="X98" s="221">
        <f t="shared" si="3"/>
        <v>0</v>
      </c>
      <c r="Y98" s="221">
        <f>IF(COUNTIF($C:$C,$X98)&gt;0,1,0)+IF(OR(COUNTIFS($C:$C,$X98,$D:$D,判定!$L$2)&gt;0,COUNTIFS($C:$C,$X98,$D:$D,判定!$L$3)&gt;0,COUNTIFS($C:$C,$X98,$D:$D,判定!$L$4)&gt;0),1,0)+IF(COUNTIFS($C:$C,$X98,$D:$D,判定!$L$7)&gt;0,1,0)+IF(COUNTIFS($C:$C,$X98,$D:$D,判定!$L$8)&gt;0,1,0)+IF(COUNTIFS($C:$C,$X98,$D:$D,判定!$L$9)&gt;0,1,0)</f>
        <v>0</v>
      </c>
      <c r="Z98" s="221" t="str">
        <f>IF(Y98&gt;0,Y98*100+COUNTIF($Y$15:Y98,Y98),"")</f>
        <v/>
      </c>
      <c r="AA98" s="221" t="e">
        <f t="shared" si="4"/>
        <v>#NUM!</v>
      </c>
      <c r="AB98" s="240"/>
      <c r="AC98" s="240"/>
      <c r="AD98" s="240"/>
      <c r="AE98" s="240"/>
      <c r="AF98" s="240"/>
    </row>
    <row r="99" spans="1:32" x14ac:dyDescent="0.2">
      <c r="A99" s="221" t="str">
        <f>IF($D99="","",COUNTA($D$15:$D99))</f>
        <v/>
      </c>
      <c r="B99" s="235"/>
      <c r="C99" s="235"/>
      <c r="D99" s="235"/>
      <c r="E99" s="337"/>
      <c r="F99" s="337"/>
      <c r="G99" s="337"/>
      <c r="H99" s="338"/>
      <c r="I99" s="339" t="str">
        <f t="shared" si="0"/>
        <v/>
      </c>
      <c r="J99" s="236" t="str">
        <f ca="1">IFERROR(VLOOKUP($G99,INDIRECT("判定!"&amp;ADDRESS(ROW(判定!$N$2)+1,COLUMN(判定!$N$2)+MATCH($D99,判定!$N$2:$W$2,0)-1,4,1)&amp;":"&amp;ADDRESS(ROW(判定!$O$2)+4,COLUMN(判定!$N$2)+MATCH($D99,判定!$N$2:$W$2,0),4,1),1),2,1),"")</f>
        <v/>
      </c>
      <c r="K99" s="340"/>
      <c r="L99" s="341"/>
      <c r="M99" s="330"/>
      <c r="N99" s="330"/>
      <c r="O99" s="331"/>
      <c r="P99" s="237"/>
      <c r="Q99" s="234" t="str">
        <f>IF(COUNTIF(判定!$L$2:$L$9,$D99)&gt;0,$P99,"")</f>
        <v/>
      </c>
      <c r="R99" s="234" t="str">
        <f>IF(COUNTIF(判定!$L$10:$L$20,$D99)&gt;0,$P99,"")</f>
        <v/>
      </c>
      <c r="S99" s="234" t="str">
        <f>IF(COUNTIF(判定!$L$21,$D99)&gt;0,$P99,"")</f>
        <v/>
      </c>
      <c r="T99" s="341"/>
      <c r="V99" s="226"/>
      <c r="W99" s="221" t="str">
        <f>IF(OR($C99=判定!$K$2,$C99=判定!$K$3,$C99=判定!$K$4,$C99=判定!$K$5),"",IF(COUNTIF($C$15:$C99,$C99)=1,ROW(),""))</f>
        <v/>
      </c>
      <c r="X99" s="221">
        <f t="shared" si="3"/>
        <v>0</v>
      </c>
      <c r="Y99" s="221">
        <f>IF(COUNTIF($C:$C,$X99)&gt;0,1,0)+IF(OR(COUNTIFS($C:$C,$X99,$D:$D,判定!$L$2)&gt;0,COUNTIFS($C:$C,$X99,$D:$D,判定!$L$3)&gt;0,COUNTIFS($C:$C,$X99,$D:$D,判定!$L$4)&gt;0),1,0)+IF(COUNTIFS($C:$C,$X99,$D:$D,判定!$L$7)&gt;0,1,0)+IF(COUNTIFS($C:$C,$X99,$D:$D,判定!$L$8)&gt;0,1,0)+IF(COUNTIFS($C:$C,$X99,$D:$D,判定!$L$9)&gt;0,1,0)</f>
        <v>0</v>
      </c>
      <c r="Z99" s="221" t="str">
        <f>IF(Y99&gt;0,Y99*100+COUNTIF($Y$15:Y99,Y99),"")</f>
        <v/>
      </c>
      <c r="AA99" s="221" t="e">
        <f t="shared" si="4"/>
        <v>#NUM!</v>
      </c>
      <c r="AB99" s="226"/>
      <c r="AC99" s="226"/>
      <c r="AD99" s="226"/>
      <c r="AE99" s="226"/>
      <c r="AF99" s="226"/>
    </row>
    <row r="100" spans="1:32" x14ac:dyDescent="0.2">
      <c r="A100" s="221" t="str">
        <f>IF($D100="","",COUNTA($D$15:$D100))</f>
        <v/>
      </c>
      <c r="B100" s="235"/>
      <c r="C100" s="235"/>
      <c r="D100" s="235"/>
      <c r="E100" s="337"/>
      <c r="F100" s="337"/>
      <c r="G100" s="337"/>
      <c r="H100" s="338"/>
      <c r="I100" s="339" t="str">
        <f t="shared" si="0"/>
        <v/>
      </c>
      <c r="J100" s="236" t="str">
        <f ca="1">IFERROR(VLOOKUP($G100,INDIRECT("判定!"&amp;ADDRESS(ROW(判定!$N$2)+1,COLUMN(判定!$N$2)+MATCH($D100,判定!$N$2:$W$2,0)-1,4,1)&amp;":"&amp;ADDRESS(ROW(判定!$O$2)+4,COLUMN(判定!$N$2)+MATCH($D100,判定!$N$2:$W$2,0),4,1),1),2,1),"")</f>
        <v/>
      </c>
      <c r="K100" s="340"/>
      <c r="L100" s="341"/>
      <c r="M100" s="330"/>
      <c r="N100" s="330"/>
      <c r="O100" s="331"/>
      <c r="P100" s="237"/>
      <c r="Q100" s="234" t="str">
        <f>IF(COUNTIF(判定!$L$2:$L$9,$D100)&gt;0,$P100,"")</f>
        <v/>
      </c>
      <c r="R100" s="234" t="str">
        <f>IF(COUNTIF(判定!$L$10:$L$20,$D100)&gt;0,$P100,"")</f>
        <v/>
      </c>
      <c r="S100" s="234" t="str">
        <f>IF(COUNTIF(判定!$L$21,$D100)&gt;0,$P100,"")</f>
        <v/>
      </c>
      <c r="T100" s="341"/>
      <c r="V100" s="226"/>
      <c r="W100" s="221" t="str">
        <f>IF(OR($C100=判定!$K$2,$C100=判定!$K$3,$C100=判定!$K$4,$C100=判定!$K$5),"",IF(COUNTIF($C$15:$C100,$C100)=1,ROW(),""))</f>
        <v/>
      </c>
      <c r="X100" s="221">
        <f t="shared" si="3"/>
        <v>0</v>
      </c>
      <c r="Y100" s="221">
        <f>IF(COUNTIF($C:$C,$X100)&gt;0,1,0)+IF(OR(COUNTIFS($C:$C,$X100,$D:$D,判定!$L$2)&gt;0,COUNTIFS($C:$C,$X100,$D:$D,判定!$L$3)&gt;0,COUNTIFS($C:$C,$X100,$D:$D,判定!$L$4)&gt;0),1,0)+IF(COUNTIFS($C:$C,$X100,$D:$D,判定!$L$7)&gt;0,1,0)+IF(COUNTIFS($C:$C,$X100,$D:$D,判定!$L$8)&gt;0,1,0)+IF(COUNTIFS($C:$C,$X100,$D:$D,判定!$L$9)&gt;0,1,0)</f>
        <v>0</v>
      </c>
      <c r="Z100" s="221" t="str">
        <f>IF(Y100&gt;0,Y100*100+COUNTIF($Y$15:Y100,Y100),"")</f>
        <v/>
      </c>
      <c r="AA100" s="221" t="e">
        <f t="shared" si="4"/>
        <v>#NUM!</v>
      </c>
      <c r="AB100" s="226"/>
      <c r="AC100" s="226"/>
      <c r="AD100" s="226"/>
      <c r="AE100" s="226"/>
      <c r="AF100" s="226"/>
    </row>
    <row r="101" spans="1:32" x14ac:dyDescent="0.2">
      <c r="A101" s="221" t="str">
        <f>IF($D101="","",COUNTA($D$15:$D101))</f>
        <v/>
      </c>
      <c r="B101" s="235"/>
      <c r="C101" s="235"/>
      <c r="D101" s="235"/>
      <c r="E101" s="337"/>
      <c r="F101" s="337"/>
      <c r="G101" s="337"/>
      <c r="H101" s="338"/>
      <c r="I101" s="339" t="str">
        <f t="shared" si="0"/>
        <v/>
      </c>
      <c r="J101" s="236" t="str">
        <f ca="1">IFERROR(VLOOKUP($G101,INDIRECT("判定!"&amp;ADDRESS(ROW(判定!$N$2)+1,COLUMN(判定!$N$2)+MATCH($D101,判定!$N$2:$W$2,0)-1,4,1)&amp;":"&amp;ADDRESS(ROW(判定!$O$2)+4,COLUMN(判定!$N$2)+MATCH($D101,判定!$N$2:$W$2,0),4,1),1),2,1),"")</f>
        <v/>
      </c>
      <c r="K101" s="340"/>
      <c r="L101" s="341"/>
      <c r="M101" s="330"/>
      <c r="N101" s="330"/>
      <c r="O101" s="331"/>
      <c r="P101" s="237"/>
      <c r="Q101" s="234" t="str">
        <f>IF(COUNTIF(判定!$L$2:$L$9,$D101)&gt;0,$P101,"")</f>
        <v/>
      </c>
      <c r="R101" s="234" t="str">
        <f>IF(COUNTIF(判定!$L$10:$L$20,$D101)&gt;0,$P101,"")</f>
        <v/>
      </c>
      <c r="S101" s="234" t="str">
        <f>IF(COUNTIF(判定!$L$21,$D101)&gt;0,$P101,"")</f>
        <v/>
      </c>
      <c r="T101" s="341"/>
      <c r="V101" s="226"/>
      <c r="W101" s="221" t="str">
        <f>IF(OR($C101=判定!$K$2,$C101=判定!$K$3,$C101=判定!$K$4,$C101=判定!$K$5),"",IF(COUNTIF($C$15:$C101,$C101)=1,ROW(),""))</f>
        <v/>
      </c>
      <c r="X101" s="221">
        <f t="shared" si="3"/>
        <v>0</v>
      </c>
      <c r="Y101" s="221">
        <f>IF(COUNTIF($C:$C,$X101)&gt;0,1,0)+IF(OR(COUNTIFS($C:$C,$X101,$D:$D,判定!$L$2)&gt;0,COUNTIFS($C:$C,$X101,$D:$D,判定!$L$3)&gt;0,COUNTIFS($C:$C,$X101,$D:$D,判定!$L$4)&gt;0),1,0)+IF(COUNTIFS($C:$C,$X101,$D:$D,判定!$L$7)&gt;0,1,0)+IF(COUNTIFS($C:$C,$X101,$D:$D,判定!$L$8)&gt;0,1,0)+IF(COUNTIFS($C:$C,$X101,$D:$D,判定!$L$9)&gt;0,1,0)</f>
        <v>0</v>
      </c>
      <c r="Z101" s="221" t="str">
        <f>IF(Y101&gt;0,Y101*100+COUNTIF($Y$15:Y101,Y101),"")</f>
        <v/>
      </c>
      <c r="AA101" s="221" t="e">
        <f t="shared" si="4"/>
        <v>#NUM!</v>
      </c>
      <c r="AB101" s="226"/>
      <c r="AC101" s="226"/>
      <c r="AD101" s="226"/>
      <c r="AE101" s="226"/>
      <c r="AF101" s="226"/>
    </row>
    <row r="102" spans="1:32" x14ac:dyDescent="0.2">
      <c r="A102" s="221" t="str">
        <f>IF($D102="","",COUNTA($D$15:$D102))</f>
        <v/>
      </c>
      <c r="B102" s="235"/>
      <c r="C102" s="235"/>
      <c r="D102" s="235"/>
      <c r="E102" s="337"/>
      <c r="F102" s="337"/>
      <c r="G102" s="337"/>
      <c r="H102" s="338"/>
      <c r="I102" s="339" t="str">
        <f t="shared" si="0"/>
        <v/>
      </c>
      <c r="J102" s="236" t="str">
        <f ca="1">IFERROR(VLOOKUP($G102,INDIRECT("判定!"&amp;ADDRESS(ROW(判定!$N$2)+1,COLUMN(判定!$N$2)+MATCH($D102,判定!$N$2:$W$2,0)-1,4,1)&amp;":"&amp;ADDRESS(ROW(判定!$O$2)+4,COLUMN(判定!$N$2)+MATCH($D102,判定!$N$2:$W$2,0),4,1),1),2,1),"")</f>
        <v/>
      </c>
      <c r="K102" s="340"/>
      <c r="L102" s="341"/>
      <c r="M102" s="330"/>
      <c r="N102" s="330"/>
      <c r="O102" s="331"/>
      <c r="P102" s="237"/>
      <c r="Q102" s="234" t="str">
        <f>IF(COUNTIF(判定!$L$2:$L$9,$D102)&gt;0,$P102,"")</f>
        <v/>
      </c>
      <c r="R102" s="234" t="str">
        <f>IF(COUNTIF(判定!$L$10:$L$20,$D102)&gt;0,$P102,"")</f>
        <v/>
      </c>
      <c r="S102" s="234" t="str">
        <f>IF(COUNTIF(判定!$L$21,$D102)&gt;0,$P102,"")</f>
        <v/>
      </c>
      <c r="T102" s="341"/>
      <c r="V102" s="226"/>
      <c r="W102" s="221" t="str">
        <f>IF(OR($C102=判定!$K$2,$C102=判定!$K$3,$C102=判定!$K$4,$C102=判定!$K$5),"",IF(COUNTIF($C$15:$C102,$C102)=1,ROW(),""))</f>
        <v/>
      </c>
      <c r="X102" s="221">
        <f t="shared" si="3"/>
        <v>0</v>
      </c>
      <c r="Y102" s="221">
        <f>IF(COUNTIF($C:$C,$X102)&gt;0,1,0)+IF(OR(COUNTIFS($C:$C,$X102,$D:$D,判定!$L$2)&gt;0,COUNTIFS($C:$C,$X102,$D:$D,判定!$L$3)&gt;0,COUNTIFS($C:$C,$X102,$D:$D,判定!$L$4)&gt;0),1,0)+IF(COUNTIFS($C:$C,$X102,$D:$D,判定!$L$7)&gt;0,1,0)+IF(COUNTIFS($C:$C,$X102,$D:$D,判定!$L$8)&gt;0,1,0)+IF(COUNTIFS($C:$C,$X102,$D:$D,判定!$L$9)&gt;0,1,0)</f>
        <v>0</v>
      </c>
      <c r="Z102" s="221" t="str">
        <f>IF(Y102&gt;0,Y102*100+COUNTIF($Y$15:Y102,Y102),"")</f>
        <v/>
      </c>
      <c r="AA102" s="221" t="e">
        <f t="shared" si="4"/>
        <v>#NUM!</v>
      </c>
      <c r="AB102" s="226"/>
      <c r="AC102" s="226"/>
      <c r="AD102" s="226"/>
      <c r="AE102" s="226"/>
      <c r="AF102" s="226"/>
    </row>
    <row r="103" spans="1:32" x14ac:dyDescent="0.2">
      <c r="A103" s="221" t="str">
        <f>IF($D103="","",COUNTA($D$15:$D103))</f>
        <v/>
      </c>
      <c r="B103" s="235"/>
      <c r="C103" s="235"/>
      <c r="D103" s="235"/>
      <c r="E103" s="337"/>
      <c r="F103" s="337"/>
      <c r="G103" s="337"/>
      <c r="H103" s="338"/>
      <c r="I103" s="339" t="str">
        <f t="shared" si="0"/>
        <v/>
      </c>
      <c r="J103" s="236" t="str">
        <f ca="1">IFERROR(VLOOKUP($G103,INDIRECT("判定!"&amp;ADDRESS(ROW(判定!$N$2)+1,COLUMN(判定!$N$2)+MATCH($D103,判定!$N$2:$W$2,0)-1,4,1)&amp;":"&amp;ADDRESS(ROW(判定!$O$2)+4,COLUMN(判定!$N$2)+MATCH($D103,判定!$N$2:$W$2,0),4,1),1),2,1),"")</f>
        <v/>
      </c>
      <c r="K103" s="340"/>
      <c r="L103" s="341"/>
      <c r="M103" s="330"/>
      <c r="N103" s="330"/>
      <c r="O103" s="331"/>
      <c r="P103" s="237"/>
      <c r="Q103" s="234" t="str">
        <f>IF(COUNTIF(判定!$L$2:$L$9,$D103)&gt;0,$P103,"")</f>
        <v/>
      </c>
      <c r="R103" s="234" t="str">
        <f>IF(COUNTIF(判定!$L$10:$L$20,$D103)&gt;0,$P103,"")</f>
        <v/>
      </c>
      <c r="S103" s="234" t="str">
        <f>IF(COUNTIF(判定!$L$21,$D103)&gt;0,$P103,"")</f>
        <v/>
      </c>
      <c r="T103" s="341"/>
      <c r="V103" s="226"/>
      <c r="W103" s="221" t="str">
        <f>IF(OR($C103=判定!$K$2,$C103=判定!$K$3,$C103=判定!$K$4,$C103=判定!$K$5),"",IF(COUNTIF($C$15:$C103,$C103)=1,ROW(),""))</f>
        <v/>
      </c>
      <c r="X103" s="221">
        <f t="shared" si="3"/>
        <v>0</v>
      </c>
      <c r="Y103" s="221">
        <f>IF(COUNTIF($C:$C,$X103)&gt;0,1,0)+IF(OR(COUNTIFS($C:$C,$X103,$D:$D,判定!$L$2)&gt;0,COUNTIFS($C:$C,$X103,$D:$D,判定!$L$3)&gt;0,COUNTIFS($C:$C,$X103,$D:$D,判定!$L$4)&gt;0),1,0)+IF(COUNTIFS($C:$C,$X103,$D:$D,判定!$L$7)&gt;0,1,0)+IF(COUNTIFS($C:$C,$X103,$D:$D,判定!$L$8)&gt;0,1,0)+IF(COUNTIFS($C:$C,$X103,$D:$D,判定!$L$9)&gt;0,1,0)</f>
        <v>0</v>
      </c>
      <c r="Z103" s="221" t="str">
        <f>IF(Y103&gt;0,Y103*100+COUNTIF($Y$15:Y103,Y103),"")</f>
        <v/>
      </c>
      <c r="AA103" s="221" t="e">
        <f t="shared" si="4"/>
        <v>#NUM!</v>
      </c>
      <c r="AB103" s="226"/>
      <c r="AC103" s="226"/>
      <c r="AD103" s="226"/>
      <c r="AE103" s="226"/>
      <c r="AF103" s="226"/>
    </row>
    <row r="104" spans="1:32" x14ac:dyDescent="0.2">
      <c r="A104" s="221" t="str">
        <f>IF($D104="","",COUNTA($D$15:$D104))</f>
        <v/>
      </c>
      <c r="B104" s="235"/>
      <c r="C104" s="235"/>
      <c r="D104" s="235"/>
      <c r="E104" s="337"/>
      <c r="F104" s="337"/>
      <c r="G104" s="337"/>
      <c r="H104" s="338"/>
      <c r="I104" s="339" t="str">
        <f t="shared" si="0"/>
        <v/>
      </c>
      <c r="J104" s="236" t="str">
        <f ca="1">IFERROR(VLOOKUP($G104,INDIRECT("判定!"&amp;ADDRESS(ROW(判定!$N$2)+1,COLUMN(判定!$N$2)+MATCH($D104,判定!$N$2:$W$2,0)-1,4,1)&amp;":"&amp;ADDRESS(ROW(判定!$O$2)+4,COLUMN(判定!$N$2)+MATCH($D104,判定!$N$2:$W$2,0),4,1),1),2,1),"")</f>
        <v/>
      </c>
      <c r="K104" s="340"/>
      <c r="L104" s="341"/>
      <c r="M104" s="330"/>
      <c r="N104" s="330"/>
      <c r="O104" s="331"/>
      <c r="P104" s="237"/>
      <c r="Q104" s="234" t="str">
        <f>IF(COUNTIF(判定!$L$2:$L$9,$D104)&gt;0,$P104,"")</f>
        <v/>
      </c>
      <c r="R104" s="234" t="str">
        <f>IF(COUNTIF(判定!$L$10:$L$20,$D104)&gt;0,$P104,"")</f>
        <v/>
      </c>
      <c r="S104" s="234" t="str">
        <f>IF(COUNTIF(判定!$L$21,$D104)&gt;0,$P104,"")</f>
        <v/>
      </c>
      <c r="T104" s="341"/>
      <c r="V104" s="226"/>
      <c r="W104" s="221" t="str">
        <f>IF(OR($C104=判定!$K$2,$C104=判定!$K$3,$C104=判定!$K$4,$C104=判定!$K$5),"",IF(COUNTIF($C$15:$C104,$C104)=1,ROW(),""))</f>
        <v/>
      </c>
      <c r="X104" s="221">
        <f t="shared" si="3"/>
        <v>0</v>
      </c>
      <c r="Y104" s="221">
        <f>IF(COUNTIF($C:$C,$X104)&gt;0,1,0)+IF(OR(COUNTIFS($C:$C,$X104,$D:$D,判定!$L$2)&gt;0,COUNTIFS($C:$C,$X104,$D:$D,判定!$L$3)&gt;0,COUNTIFS($C:$C,$X104,$D:$D,判定!$L$4)&gt;0),1,0)+IF(COUNTIFS($C:$C,$X104,$D:$D,判定!$L$7)&gt;0,1,0)+IF(COUNTIFS($C:$C,$X104,$D:$D,判定!$L$8)&gt;0,1,0)+IF(COUNTIFS($C:$C,$X104,$D:$D,判定!$L$9)&gt;0,1,0)</f>
        <v>0</v>
      </c>
      <c r="Z104" s="221" t="str">
        <f>IF(Y104&gt;0,Y104*100+COUNTIF($Y$15:Y104,Y104),"")</f>
        <v/>
      </c>
      <c r="AA104" s="221" t="e">
        <f t="shared" si="4"/>
        <v>#NUM!</v>
      </c>
      <c r="AB104" s="226"/>
      <c r="AC104" s="226"/>
      <c r="AD104" s="226"/>
      <c r="AE104" s="226"/>
      <c r="AF104" s="226"/>
    </row>
    <row r="105" spans="1:32" x14ac:dyDescent="0.2">
      <c r="A105" s="221" t="str">
        <f>IF($D105="","",COUNTA($D$15:$D105))</f>
        <v/>
      </c>
      <c r="B105" s="235"/>
      <c r="C105" s="235"/>
      <c r="D105" s="235"/>
      <c r="E105" s="337"/>
      <c r="F105" s="337"/>
      <c r="G105" s="337"/>
      <c r="H105" s="338"/>
      <c r="I105" s="339" t="str">
        <f t="shared" si="0"/>
        <v/>
      </c>
      <c r="J105" s="236" t="str">
        <f ca="1">IFERROR(VLOOKUP($G105,INDIRECT("判定!"&amp;ADDRESS(ROW(判定!$N$2)+1,COLUMN(判定!$N$2)+MATCH($D105,判定!$N$2:$W$2,0)-1,4,1)&amp;":"&amp;ADDRESS(ROW(判定!$O$2)+4,COLUMN(判定!$N$2)+MATCH($D105,判定!$N$2:$W$2,0),4,1),1),2,1),"")</f>
        <v/>
      </c>
      <c r="K105" s="340"/>
      <c r="L105" s="341"/>
      <c r="M105" s="330"/>
      <c r="N105" s="330"/>
      <c r="O105" s="331"/>
      <c r="P105" s="237"/>
      <c r="Q105" s="234" t="str">
        <f>IF(COUNTIF(判定!$L$2:$L$9,$D105)&gt;0,$P105,"")</f>
        <v/>
      </c>
      <c r="R105" s="234" t="str">
        <f>IF(COUNTIF(判定!$L$10:$L$20,$D105)&gt;0,$P105,"")</f>
        <v/>
      </c>
      <c r="S105" s="234" t="str">
        <f>IF(COUNTIF(判定!$L$21,$D105)&gt;0,$P105,"")</f>
        <v/>
      </c>
      <c r="T105" s="341"/>
      <c r="V105" s="226"/>
      <c r="W105" s="221" t="str">
        <f>IF(OR($C105=判定!$K$2,$C105=判定!$K$3,$C105=判定!$K$4,$C105=判定!$K$5),"",IF(COUNTIF($C$15:$C105,$C105)=1,ROW(),""))</f>
        <v/>
      </c>
      <c r="X105" s="221">
        <f t="shared" si="3"/>
        <v>0</v>
      </c>
      <c r="Y105" s="221">
        <f>IF(COUNTIF($C:$C,$X105)&gt;0,1,0)+IF(OR(COUNTIFS($C:$C,$X105,$D:$D,判定!$L$2)&gt;0,COUNTIFS($C:$C,$X105,$D:$D,判定!$L$3)&gt;0,COUNTIFS($C:$C,$X105,$D:$D,判定!$L$4)&gt;0),1,0)+IF(COUNTIFS($C:$C,$X105,$D:$D,判定!$L$7)&gt;0,1,0)+IF(COUNTIFS($C:$C,$X105,$D:$D,判定!$L$8)&gt;0,1,0)+IF(COUNTIFS($C:$C,$X105,$D:$D,判定!$L$9)&gt;0,1,0)</f>
        <v>0</v>
      </c>
      <c r="Z105" s="221" t="str">
        <f>IF(Y105&gt;0,Y105*100+COUNTIF($Y$15:Y105,Y105),"")</f>
        <v/>
      </c>
      <c r="AA105" s="221" t="e">
        <f t="shared" si="4"/>
        <v>#NUM!</v>
      </c>
      <c r="AB105" s="226"/>
      <c r="AC105" s="226"/>
      <c r="AD105" s="226"/>
      <c r="AE105" s="226"/>
      <c r="AF105" s="226"/>
    </row>
    <row r="106" spans="1:32" x14ac:dyDescent="0.2">
      <c r="A106" s="221" t="str">
        <f>IF($D106="","",COUNTA($D$15:$D106))</f>
        <v/>
      </c>
      <c r="B106" s="235"/>
      <c r="C106" s="235"/>
      <c r="D106" s="235"/>
      <c r="E106" s="337"/>
      <c r="F106" s="337"/>
      <c r="G106" s="337"/>
      <c r="H106" s="338"/>
      <c r="I106" s="339" t="str">
        <f t="shared" si="0"/>
        <v/>
      </c>
      <c r="J106" s="236" t="str">
        <f ca="1">IFERROR(VLOOKUP($G106,INDIRECT("判定!"&amp;ADDRESS(ROW(判定!$N$2)+1,COLUMN(判定!$N$2)+MATCH($D106,判定!$N$2:$W$2,0)-1,4,1)&amp;":"&amp;ADDRESS(ROW(判定!$O$2)+4,COLUMN(判定!$N$2)+MATCH($D106,判定!$N$2:$W$2,0),4,1),1),2,1),"")</f>
        <v/>
      </c>
      <c r="K106" s="340"/>
      <c r="L106" s="341"/>
      <c r="M106" s="330"/>
      <c r="N106" s="330"/>
      <c r="O106" s="331"/>
      <c r="P106" s="237"/>
      <c r="Q106" s="234" t="str">
        <f>IF(COUNTIF(判定!$L$2:$L$9,$D106)&gt;0,$P106,"")</f>
        <v/>
      </c>
      <c r="R106" s="234" t="str">
        <f>IF(COUNTIF(判定!$L$10:$L$20,$D106)&gt;0,$P106,"")</f>
        <v/>
      </c>
      <c r="S106" s="234" t="str">
        <f>IF(COUNTIF(判定!$L$21,$D106)&gt;0,$P106,"")</f>
        <v/>
      </c>
      <c r="T106" s="341"/>
      <c r="V106" s="226"/>
      <c r="W106" s="221" t="str">
        <f>IF(OR($C106=判定!$K$2,$C106=判定!$K$3,$C106=判定!$K$4,$C106=判定!$K$5),"",IF(COUNTIF($C$15:$C106,$C106)=1,ROW(),""))</f>
        <v/>
      </c>
      <c r="X106" s="221">
        <f t="shared" si="3"/>
        <v>0</v>
      </c>
      <c r="Y106" s="221">
        <f>IF(COUNTIF($C:$C,$X106)&gt;0,1,0)+IF(OR(COUNTIFS($C:$C,$X106,$D:$D,判定!$L$2)&gt;0,COUNTIFS($C:$C,$X106,$D:$D,判定!$L$3)&gt;0,COUNTIFS($C:$C,$X106,$D:$D,判定!$L$4)&gt;0),1,0)+IF(COUNTIFS($C:$C,$X106,$D:$D,判定!$L$7)&gt;0,1,0)+IF(COUNTIFS($C:$C,$X106,$D:$D,判定!$L$8)&gt;0,1,0)+IF(COUNTIFS($C:$C,$X106,$D:$D,判定!$L$9)&gt;0,1,0)</f>
        <v>0</v>
      </c>
      <c r="Z106" s="221" t="str">
        <f>IF(Y106&gt;0,Y106*100+COUNTIF($Y$15:Y106,Y106),"")</f>
        <v/>
      </c>
      <c r="AA106" s="221" t="e">
        <f t="shared" si="4"/>
        <v>#NUM!</v>
      </c>
      <c r="AB106" s="226"/>
      <c r="AC106" s="226"/>
      <c r="AD106" s="226"/>
      <c r="AE106" s="226"/>
      <c r="AF106" s="226"/>
    </row>
    <row r="107" spans="1:32" x14ac:dyDescent="0.2">
      <c r="A107" s="221" t="str">
        <f>IF($D107="","",COUNTA($D$15:$D107))</f>
        <v/>
      </c>
      <c r="B107" s="235"/>
      <c r="C107" s="235"/>
      <c r="D107" s="235"/>
      <c r="E107" s="337"/>
      <c r="F107" s="337"/>
      <c r="G107" s="337"/>
      <c r="H107" s="338"/>
      <c r="I107" s="339" t="str">
        <f t="shared" si="0"/>
        <v/>
      </c>
      <c r="J107" s="236" t="str">
        <f ca="1">IFERROR(VLOOKUP($G107,INDIRECT("判定!"&amp;ADDRESS(ROW(判定!$N$2)+1,COLUMN(判定!$N$2)+MATCH($D107,判定!$N$2:$W$2,0)-1,4,1)&amp;":"&amp;ADDRESS(ROW(判定!$O$2)+4,COLUMN(判定!$N$2)+MATCH($D107,判定!$N$2:$W$2,0),4,1),1),2,1),"")</f>
        <v/>
      </c>
      <c r="K107" s="340"/>
      <c r="L107" s="341"/>
      <c r="M107" s="330"/>
      <c r="N107" s="330"/>
      <c r="O107" s="331"/>
      <c r="P107" s="237"/>
      <c r="Q107" s="234" t="str">
        <f>IF(COUNTIF(判定!$L$2:$L$9,$D107)&gt;0,$P107,"")</f>
        <v/>
      </c>
      <c r="R107" s="234" t="str">
        <f>IF(COUNTIF(判定!$L$10:$L$20,$D107)&gt;0,$P107,"")</f>
        <v/>
      </c>
      <c r="S107" s="234" t="str">
        <f>IF(COUNTIF(判定!$L$21,$D107)&gt;0,$P107,"")</f>
        <v/>
      </c>
      <c r="T107" s="341"/>
      <c r="V107" s="226"/>
      <c r="W107" s="221" t="str">
        <f>IF(OR($C107=判定!$K$2,$C107=判定!$K$3,$C107=判定!$K$4,$C107=判定!$K$5),"",IF(COUNTIF($C$15:$C107,$C107)=1,ROW(),""))</f>
        <v/>
      </c>
      <c r="X107" s="221">
        <f t="shared" si="3"/>
        <v>0</v>
      </c>
      <c r="Y107" s="221">
        <f>IF(COUNTIF($C:$C,$X107)&gt;0,1,0)+IF(OR(COUNTIFS($C:$C,$X107,$D:$D,判定!$L$2)&gt;0,COUNTIFS($C:$C,$X107,$D:$D,判定!$L$3)&gt;0,COUNTIFS($C:$C,$X107,$D:$D,判定!$L$4)&gt;0),1,0)+IF(COUNTIFS($C:$C,$X107,$D:$D,判定!$L$7)&gt;0,1,0)+IF(COUNTIFS($C:$C,$X107,$D:$D,判定!$L$8)&gt;0,1,0)+IF(COUNTIFS($C:$C,$X107,$D:$D,判定!$L$9)&gt;0,1,0)</f>
        <v>0</v>
      </c>
      <c r="Z107" s="221" t="str">
        <f>IF(Y107&gt;0,Y107*100+COUNTIF($Y$15:Y107,Y107),"")</f>
        <v/>
      </c>
      <c r="AA107" s="221" t="e">
        <f t="shared" si="4"/>
        <v>#NUM!</v>
      </c>
      <c r="AB107" s="226"/>
      <c r="AC107" s="226"/>
      <c r="AD107" s="226"/>
      <c r="AE107" s="226"/>
      <c r="AF107" s="226"/>
    </row>
    <row r="108" spans="1:32" x14ac:dyDescent="0.2">
      <c r="A108" s="221" t="str">
        <f>IF($D108="","",COUNTA($D$15:$D108))</f>
        <v/>
      </c>
      <c r="B108" s="235"/>
      <c r="C108" s="235"/>
      <c r="D108" s="235"/>
      <c r="E108" s="337"/>
      <c r="F108" s="337"/>
      <c r="G108" s="337"/>
      <c r="H108" s="338"/>
      <c r="I108" s="339" t="str">
        <f t="shared" si="0"/>
        <v/>
      </c>
      <c r="J108" s="236" t="str">
        <f ca="1">IFERROR(VLOOKUP($G108,INDIRECT("判定!"&amp;ADDRESS(ROW(判定!$N$2)+1,COLUMN(判定!$N$2)+MATCH($D108,判定!$N$2:$W$2,0)-1,4,1)&amp;":"&amp;ADDRESS(ROW(判定!$O$2)+4,COLUMN(判定!$N$2)+MATCH($D108,判定!$N$2:$W$2,0),4,1),1),2,1),"")</f>
        <v/>
      </c>
      <c r="K108" s="340"/>
      <c r="L108" s="341"/>
      <c r="M108" s="330"/>
      <c r="N108" s="330"/>
      <c r="O108" s="331"/>
      <c r="P108" s="237"/>
      <c r="Q108" s="234" t="str">
        <f>IF(COUNTIF(判定!$L$2:$L$9,$D108)&gt;0,$P108,"")</f>
        <v/>
      </c>
      <c r="R108" s="234" t="str">
        <f>IF(COUNTIF(判定!$L$10:$L$20,$D108)&gt;0,$P108,"")</f>
        <v/>
      </c>
      <c r="S108" s="234" t="str">
        <f>IF(COUNTIF(判定!$L$21,$D108)&gt;0,$P108,"")</f>
        <v/>
      </c>
      <c r="T108" s="341"/>
      <c r="V108" s="226"/>
      <c r="W108" s="221" t="str">
        <f>IF(OR($C108=判定!$K$2,$C108=判定!$K$3,$C108=判定!$K$4,$C108=判定!$K$5),"",IF(COUNTIF($C$15:$C108,$C108)=1,ROW(),""))</f>
        <v/>
      </c>
      <c r="X108" s="221">
        <f t="shared" si="3"/>
        <v>0</v>
      </c>
      <c r="Y108" s="221">
        <f>IF(COUNTIF($C:$C,$X108)&gt;0,1,0)+IF(OR(COUNTIFS($C:$C,$X108,$D:$D,判定!$L$2)&gt;0,COUNTIFS($C:$C,$X108,$D:$D,判定!$L$3)&gt;0,COUNTIFS($C:$C,$X108,$D:$D,判定!$L$4)&gt;0),1,0)+IF(COUNTIFS($C:$C,$X108,$D:$D,判定!$L$7)&gt;0,1,0)+IF(COUNTIFS($C:$C,$X108,$D:$D,判定!$L$8)&gt;0,1,0)+IF(COUNTIFS($C:$C,$X108,$D:$D,判定!$L$9)&gt;0,1,0)</f>
        <v>0</v>
      </c>
      <c r="Z108" s="221" t="str">
        <f>IF(Y108&gt;0,Y108*100+COUNTIF($Y$15:Y108,Y108),"")</f>
        <v/>
      </c>
      <c r="AA108" s="221" t="e">
        <f t="shared" si="4"/>
        <v>#NUM!</v>
      </c>
      <c r="AB108" s="226"/>
      <c r="AC108" s="226"/>
      <c r="AD108" s="226"/>
      <c r="AE108" s="226"/>
      <c r="AF108" s="226"/>
    </row>
    <row r="109" spans="1:32" x14ac:dyDescent="0.2">
      <c r="A109" s="221" t="str">
        <f>IF($D109="","",COUNTA($D$15:$D109))</f>
        <v/>
      </c>
      <c r="B109" s="235"/>
      <c r="C109" s="235"/>
      <c r="D109" s="235"/>
      <c r="E109" s="337"/>
      <c r="F109" s="337"/>
      <c r="G109" s="337"/>
      <c r="H109" s="338"/>
      <c r="I109" s="339" t="str">
        <f t="shared" si="0"/>
        <v/>
      </c>
      <c r="J109" s="236" t="str">
        <f ca="1">IFERROR(VLOOKUP($G109,INDIRECT("判定!"&amp;ADDRESS(ROW(判定!$N$2)+1,COLUMN(判定!$N$2)+MATCH($D109,判定!$N$2:$W$2,0)-1,4,1)&amp;":"&amp;ADDRESS(ROW(判定!$O$2)+4,COLUMN(判定!$N$2)+MATCH($D109,判定!$N$2:$W$2,0),4,1),1),2,1),"")</f>
        <v/>
      </c>
      <c r="K109" s="340"/>
      <c r="L109" s="341"/>
      <c r="M109" s="330"/>
      <c r="N109" s="330"/>
      <c r="O109" s="331"/>
      <c r="P109" s="237"/>
      <c r="Q109" s="234" t="str">
        <f>IF(COUNTIF(判定!$L$2:$L$9,$D109)&gt;0,$P109,"")</f>
        <v/>
      </c>
      <c r="R109" s="234" t="str">
        <f>IF(COUNTIF(判定!$L$10:$L$20,$D109)&gt;0,$P109,"")</f>
        <v/>
      </c>
      <c r="S109" s="234" t="str">
        <f>IF(COUNTIF(判定!$L$21,$D109)&gt;0,$P109,"")</f>
        <v/>
      </c>
      <c r="T109" s="341"/>
      <c r="V109" s="226"/>
      <c r="W109" s="221" t="str">
        <f>IF(OR($C109=判定!$K$2,$C109=判定!$K$3,$C109=判定!$K$4,$C109=判定!$K$5),"",IF(COUNTIF($C$15:$C109,$C109)=1,ROW(),""))</f>
        <v/>
      </c>
      <c r="X109" s="221">
        <f t="shared" si="3"/>
        <v>0</v>
      </c>
      <c r="Y109" s="221">
        <f>IF(COUNTIF($C:$C,$X109)&gt;0,1,0)+IF(OR(COUNTIFS($C:$C,$X109,$D:$D,判定!$L$2)&gt;0,COUNTIFS($C:$C,$X109,$D:$D,判定!$L$3)&gt;0,COUNTIFS($C:$C,$X109,$D:$D,判定!$L$4)&gt;0),1,0)+IF(COUNTIFS($C:$C,$X109,$D:$D,判定!$L$7)&gt;0,1,0)+IF(COUNTIFS($C:$C,$X109,$D:$D,判定!$L$8)&gt;0,1,0)+IF(COUNTIFS($C:$C,$X109,$D:$D,判定!$L$9)&gt;0,1,0)</f>
        <v>0</v>
      </c>
      <c r="Z109" s="221" t="str">
        <f>IF(Y109&gt;0,Y109*100+COUNTIF($Y$15:Y109,Y109),"")</f>
        <v/>
      </c>
      <c r="AA109" s="221" t="e">
        <f t="shared" si="4"/>
        <v>#NUM!</v>
      </c>
      <c r="AB109" s="226"/>
      <c r="AC109" s="226"/>
      <c r="AD109" s="226"/>
      <c r="AE109" s="226"/>
      <c r="AF109" s="226"/>
    </row>
    <row r="110" spans="1:32" x14ac:dyDescent="0.2">
      <c r="A110" s="221" t="str">
        <f>IF($D110="","",COUNTA($D$15:$D110))</f>
        <v/>
      </c>
      <c r="B110" s="235"/>
      <c r="C110" s="235"/>
      <c r="D110" s="235"/>
      <c r="E110" s="337"/>
      <c r="F110" s="337"/>
      <c r="G110" s="337"/>
      <c r="H110" s="338"/>
      <c r="I110" s="339" t="str">
        <f t="shared" si="0"/>
        <v/>
      </c>
      <c r="J110" s="236" t="str">
        <f ca="1">IFERROR(VLOOKUP($G110,INDIRECT("判定!"&amp;ADDRESS(ROW(判定!$N$2)+1,COLUMN(判定!$N$2)+MATCH($D110,判定!$N$2:$W$2,0)-1,4,1)&amp;":"&amp;ADDRESS(ROW(判定!$O$2)+4,COLUMN(判定!$N$2)+MATCH($D110,判定!$N$2:$W$2,0),4,1),1),2,1),"")</f>
        <v/>
      </c>
      <c r="K110" s="340"/>
      <c r="L110" s="341"/>
      <c r="M110" s="330"/>
      <c r="N110" s="330"/>
      <c r="O110" s="331"/>
      <c r="P110" s="237"/>
      <c r="Q110" s="234" t="str">
        <f>IF(COUNTIF(判定!$L$2:$L$9,$D110)&gt;0,$P110,"")</f>
        <v/>
      </c>
      <c r="R110" s="234" t="str">
        <f>IF(COUNTIF(判定!$L$10:$L$20,$D110)&gt;0,$P110,"")</f>
        <v/>
      </c>
      <c r="S110" s="234" t="str">
        <f>IF(COUNTIF(判定!$L$21,$D110)&gt;0,$P110,"")</f>
        <v/>
      </c>
      <c r="T110" s="341"/>
      <c r="V110" s="226"/>
      <c r="W110" s="221" t="str">
        <f>IF(OR($C110=判定!$K$2,$C110=判定!$K$3,$C110=判定!$K$4,$C110=判定!$K$5),"",IF(COUNTIF($C$15:$C110,$C110)=1,ROW(),""))</f>
        <v/>
      </c>
      <c r="X110" s="221">
        <f t="shared" si="3"/>
        <v>0</v>
      </c>
      <c r="Y110" s="221">
        <f>IF(COUNTIF($C:$C,$X110)&gt;0,1,0)+IF(OR(COUNTIFS($C:$C,$X110,$D:$D,判定!$L$2)&gt;0,COUNTIFS($C:$C,$X110,$D:$D,判定!$L$3)&gt;0,COUNTIFS($C:$C,$X110,$D:$D,判定!$L$4)&gt;0),1,0)+IF(COUNTIFS($C:$C,$X110,$D:$D,判定!$L$7)&gt;0,1,0)+IF(COUNTIFS($C:$C,$X110,$D:$D,判定!$L$8)&gt;0,1,0)+IF(COUNTIFS($C:$C,$X110,$D:$D,判定!$L$9)&gt;0,1,0)</f>
        <v>0</v>
      </c>
      <c r="Z110" s="221" t="str">
        <f>IF(Y110&gt;0,Y110*100+COUNTIF($Y$15:Y110,Y110),"")</f>
        <v/>
      </c>
      <c r="AA110" s="221" t="e">
        <f t="shared" si="4"/>
        <v>#NUM!</v>
      </c>
      <c r="AB110" s="226"/>
      <c r="AC110" s="226"/>
      <c r="AD110" s="226"/>
      <c r="AE110" s="226"/>
      <c r="AF110" s="226"/>
    </row>
    <row r="111" spans="1:32" x14ac:dyDescent="0.2">
      <c r="A111" s="221" t="str">
        <f>IF($D111="","",COUNTA($D$15:$D111))</f>
        <v/>
      </c>
      <c r="B111" s="235"/>
      <c r="C111" s="235"/>
      <c r="D111" s="235"/>
      <c r="E111" s="337"/>
      <c r="F111" s="337"/>
      <c r="G111" s="337"/>
      <c r="H111" s="338"/>
      <c r="I111" s="339" t="str">
        <f t="shared" si="0"/>
        <v/>
      </c>
      <c r="J111" s="236" t="str">
        <f ca="1">IFERROR(VLOOKUP($G111,INDIRECT("判定!"&amp;ADDRESS(ROW(判定!$N$2)+1,COLUMN(判定!$N$2)+MATCH($D111,判定!$N$2:$W$2,0)-1,4,1)&amp;":"&amp;ADDRESS(ROW(判定!$O$2)+4,COLUMN(判定!$N$2)+MATCH($D111,判定!$N$2:$W$2,0),4,1),1),2,1),"")</f>
        <v/>
      </c>
      <c r="K111" s="340"/>
      <c r="L111" s="341"/>
      <c r="M111" s="330"/>
      <c r="N111" s="330"/>
      <c r="O111" s="331"/>
      <c r="P111" s="237"/>
      <c r="Q111" s="234" t="str">
        <f>IF(COUNTIF(判定!$L$2:$L$9,$D111)&gt;0,$P111,"")</f>
        <v/>
      </c>
      <c r="R111" s="234" t="str">
        <f>IF(COUNTIF(判定!$L$10:$L$20,$D111)&gt;0,$P111,"")</f>
        <v/>
      </c>
      <c r="S111" s="234" t="str">
        <f>IF(COUNTIF(判定!$L$21,$D111)&gt;0,$P111,"")</f>
        <v/>
      </c>
      <c r="T111" s="341"/>
      <c r="V111" s="226"/>
      <c r="W111" s="221" t="str">
        <f>IF(OR($C111=判定!$K$2,$C111=判定!$K$3,$C111=判定!$K$4,$C111=判定!$K$5),"",IF(COUNTIF($C$15:$C111,$C111)=1,ROW(),""))</f>
        <v/>
      </c>
      <c r="X111" s="221">
        <f t="shared" si="3"/>
        <v>0</v>
      </c>
      <c r="Y111" s="221">
        <f>IF(COUNTIF($C:$C,$X111)&gt;0,1,0)+IF(OR(COUNTIFS($C:$C,$X111,$D:$D,判定!$L$2)&gt;0,COUNTIFS($C:$C,$X111,$D:$D,判定!$L$3)&gt;0,COUNTIFS($C:$C,$X111,$D:$D,判定!$L$4)&gt;0),1,0)+IF(COUNTIFS($C:$C,$X111,$D:$D,判定!$L$7)&gt;0,1,0)+IF(COUNTIFS($C:$C,$X111,$D:$D,判定!$L$8)&gt;0,1,0)+IF(COUNTIFS($C:$C,$X111,$D:$D,判定!$L$9)&gt;0,1,0)</f>
        <v>0</v>
      </c>
      <c r="Z111" s="221" t="str">
        <f>IF(Y111&gt;0,Y111*100+COUNTIF($Y$15:Y111,Y111),"")</f>
        <v/>
      </c>
      <c r="AA111" s="221" t="e">
        <f t="shared" si="4"/>
        <v>#NUM!</v>
      </c>
      <c r="AB111" s="226"/>
      <c r="AC111" s="226"/>
      <c r="AD111" s="226"/>
      <c r="AE111" s="226"/>
      <c r="AF111" s="226"/>
    </row>
    <row r="112" spans="1:32" x14ac:dyDescent="0.2">
      <c r="A112" s="221" t="str">
        <f>IF($D112="","",COUNTA($D$15:$D112))</f>
        <v/>
      </c>
      <c r="B112" s="235"/>
      <c r="C112" s="235"/>
      <c r="D112" s="235"/>
      <c r="E112" s="337"/>
      <c r="F112" s="337"/>
      <c r="G112" s="337"/>
      <c r="H112" s="338"/>
      <c r="I112" s="339" t="str">
        <f t="shared" si="0"/>
        <v/>
      </c>
      <c r="J112" s="236" t="str">
        <f ca="1">IFERROR(VLOOKUP($G112,INDIRECT("判定!"&amp;ADDRESS(ROW(判定!$N$2)+1,COLUMN(判定!$N$2)+MATCH($D112,判定!$N$2:$W$2,0)-1,4,1)&amp;":"&amp;ADDRESS(ROW(判定!$O$2)+4,COLUMN(判定!$N$2)+MATCH($D112,判定!$N$2:$W$2,0),4,1),1),2,1),"")</f>
        <v/>
      </c>
      <c r="K112" s="340"/>
      <c r="L112" s="341"/>
      <c r="M112" s="330"/>
      <c r="N112" s="330"/>
      <c r="O112" s="331"/>
      <c r="P112" s="237"/>
      <c r="Q112" s="234" t="str">
        <f>IF(COUNTIF(判定!$L$2:$L$9,$D112)&gt;0,$P112,"")</f>
        <v/>
      </c>
      <c r="R112" s="234" t="str">
        <f>IF(COUNTIF(判定!$L$10:$L$20,$D112)&gt;0,$P112,"")</f>
        <v/>
      </c>
      <c r="S112" s="234" t="str">
        <f>IF(COUNTIF(判定!$L$21,$D112)&gt;0,$P112,"")</f>
        <v/>
      </c>
      <c r="T112" s="341"/>
      <c r="V112" s="226"/>
      <c r="W112" s="221" t="str">
        <f>IF(OR($C112=判定!$K$2,$C112=判定!$K$3,$C112=判定!$K$4,$C112=判定!$K$5),"",IF(COUNTIF($C$15:$C112,$C112)=1,ROW(),""))</f>
        <v/>
      </c>
      <c r="X112" s="221">
        <f t="shared" si="3"/>
        <v>0</v>
      </c>
      <c r="Y112" s="221">
        <f>IF(COUNTIF($C:$C,$X112)&gt;0,1,0)+IF(OR(COUNTIFS($C:$C,$X112,$D:$D,判定!$L$2)&gt;0,COUNTIFS($C:$C,$X112,$D:$D,判定!$L$3)&gt;0,COUNTIFS($C:$C,$X112,$D:$D,判定!$L$4)&gt;0),1,0)+IF(COUNTIFS($C:$C,$X112,$D:$D,判定!$L$7)&gt;0,1,0)+IF(COUNTIFS($C:$C,$X112,$D:$D,判定!$L$8)&gt;0,1,0)+IF(COUNTIFS($C:$C,$X112,$D:$D,判定!$L$9)&gt;0,1,0)</f>
        <v>0</v>
      </c>
      <c r="Z112" s="221" t="str">
        <f>IF(Y112&gt;0,Y112*100+COUNTIF($Y$15:Y112,Y112),"")</f>
        <v/>
      </c>
      <c r="AA112" s="221" t="e">
        <f t="shared" si="4"/>
        <v>#NUM!</v>
      </c>
      <c r="AB112" s="226"/>
      <c r="AC112" s="226"/>
      <c r="AD112" s="226"/>
      <c r="AE112" s="226"/>
      <c r="AF112" s="226"/>
    </row>
    <row r="113" spans="1:32" x14ac:dyDescent="0.2">
      <c r="A113" s="221" t="str">
        <f>IF($D113="","",COUNTA($D$15:$D113))</f>
        <v/>
      </c>
      <c r="B113" s="235"/>
      <c r="C113" s="235"/>
      <c r="D113" s="235"/>
      <c r="E113" s="337"/>
      <c r="F113" s="337"/>
      <c r="G113" s="337"/>
      <c r="H113" s="338"/>
      <c r="I113" s="339" t="str">
        <f t="shared" si="0"/>
        <v/>
      </c>
      <c r="J113" s="236" t="str">
        <f ca="1">IFERROR(VLOOKUP($G113,INDIRECT("判定!"&amp;ADDRESS(ROW(判定!$N$2)+1,COLUMN(判定!$N$2)+MATCH($D113,判定!$N$2:$W$2,0)-1,4,1)&amp;":"&amp;ADDRESS(ROW(判定!$O$2)+4,COLUMN(判定!$N$2)+MATCH($D113,判定!$N$2:$W$2,0),4,1),1),2,1),"")</f>
        <v/>
      </c>
      <c r="K113" s="340"/>
      <c r="L113" s="341"/>
      <c r="M113" s="330"/>
      <c r="N113" s="330"/>
      <c r="O113" s="331"/>
      <c r="P113" s="237"/>
      <c r="Q113" s="234" t="str">
        <f>IF(COUNTIF(判定!$L$2:$L$9,$D113)&gt;0,$P113,"")</f>
        <v/>
      </c>
      <c r="R113" s="234" t="str">
        <f>IF(COUNTIF(判定!$L$10:$L$20,$D113)&gt;0,$P113,"")</f>
        <v/>
      </c>
      <c r="S113" s="234" t="str">
        <f>IF(COUNTIF(判定!$L$21,$D113)&gt;0,$P113,"")</f>
        <v/>
      </c>
      <c r="T113" s="341"/>
      <c r="V113" s="226"/>
      <c r="W113" s="221" t="str">
        <f>IF(OR($C113=判定!$K$2,$C113=判定!$K$3,$C113=判定!$K$4,$C113=判定!$K$5),"",IF(COUNTIF($C$15:$C113,$C113)=1,ROW(),""))</f>
        <v/>
      </c>
      <c r="X113" s="221">
        <f t="shared" si="3"/>
        <v>0</v>
      </c>
      <c r="Y113" s="221">
        <f>IF(COUNTIF($C:$C,$X113)&gt;0,1,0)+IF(OR(COUNTIFS($C:$C,$X113,$D:$D,判定!$L$2)&gt;0,COUNTIFS($C:$C,$X113,$D:$D,判定!$L$3)&gt;0,COUNTIFS($C:$C,$X113,$D:$D,判定!$L$4)&gt;0),1,0)+IF(COUNTIFS($C:$C,$X113,$D:$D,判定!$L$7)&gt;0,1,0)+IF(COUNTIFS($C:$C,$X113,$D:$D,判定!$L$8)&gt;0,1,0)+IF(COUNTIFS($C:$C,$X113,$D:$D,判定!$L$9)&gt;0,1,0)</f>
        <v>0</v>
      </c>
      <c r="Z113" s="221" t="str">
        <f>IF(Y113&gt;0,Y113*100+COUNTIF($Y$15:Y113,Y113),"")</f>
        <v/>
      </c>
      <c r="AA113" s="221" t="e">
        <f t="shared" si="4"/>
        <v>#NUM!</v>
      </c>
      <c r="AB113" s="226"/>
      <c r="AC113" s="226"/>
      <c r="AD113" s="226"/>
      <c r="AE113" s="226"/>
      <c r="AF113" s="226"/>
    </row>
    <row r="114" spans="1:32" x14ac:dyDescent="0.2">
      <c r="A114" s="221" t="str">
        <f>IF($D114="","",COUNTA($D$15:$D114))</f>
        <v/>
      </c>
      <c r="B114" s="235"/>
      <c r="C114" s="235"/>
      <c r="D114" s="235"/>
      <c r="E114" s="337"/>
      <c r="F114" s="337"/>
      <c r="G114" s="337"/>
      <c r="H114" s="338"/>
      <c r="I114" s="339" t="str">
        <f t="shared" si="0"/>
        <v/>
      </c>
      <c r="J114" s="236" t="str">
        <f ca="1">IFERROR(VLOOKUP($G114,INDIRECT("判定!"&amp;ADDRESS(ROW(判定!$N$2)+1,COLUMN(判定!$N$2)+MATCH($D114,判定!$N$2:$W$2,0)-1,4,1)&amp;":"&amp;ADDRESS(ROW(判定!$O$2)+4,COLUMN(判定!$N$2)+MATCH($D114,判定!$N$2:$W$2,0),4,1),1),2,1),"")</f>
        <v/>
      </c>
      <c r="K114" s="340"/>
      <c r="L114" s="341"/>
      <c r="M114" s="330"/>
      <c r="N114" s="330"/>
      <c r="O114" s="331"/>
      <c r="P114" s="237"/>
      <c r="Q114" s="234" t="str">
        <f>IF(COUNTIF(判定!$L$2:$L$9,$D114)&gt;0,$P114,"")</f>
        <v/>
      </c>
      <c r="R114" s="234" t="str">
        <f>IF(COUNTIF(判定!$L$10:$L$20,$D114)&gt;0,$P114,"")</f>
        <v/>
      </c>
      <c r="S114" s="234" t="str">
        <f>IF(COUNTIF(判定!$L$21,$D114)&gt;0,$P114,"")</f>
        <v/>
      </c>
      <c r="T114" s="341"/>
      <c r="V114" s="226"/>
      <c r="W114" s="221" t="str">
        <f>IF(OR($C114=判定!$K$2,$C114=判定!$K$3,$C114=判定!$K$4,$C114=判定!$K$5),"",IF(COUNTIF($C$15:$C114,$C114)=1,ROW(),""))</f>
        <v/>
      </c>
      <c r="X114" s="221">
        <f t="shared" si="3"/>
        <v>0</v>
      </c>
      <c r="Y114" s="221">
        <f>IF(COUNTIF($C:$C,$X114)&gt;0,1,0)+IF(OR(COUNTIFS($C:$C,$X114,$D:$D,判定!$L$2)&gt;0,COUNTIFS($C:$C,$X114,$D:$D,判定!$L$3)&gt;0,COUNTIFS($C:$C,$X114,$D:$D,判定!$L$4)&gt;0),1,0)+IF(COUNTIFS($C:$C,$X114,$D:$D,判定!$L$7)&gt;0,1,0)+IF(COUNTIFS($C:$C,$X114,$D:$D,判定!$L$8)&gt;0,1,0)+IF(COUNTIFS($C:$C,$X114,$D:$D,判定!$L$9)&gt;0,1,0)</f>
        <v>0</v>
      </c>
      <c r="Z114" s="221" t="str">
        <f>IF(Y114&gt;0,Y114*100+COUNTIF($Y$15:Y114,Y114),"")</f>
        <v/>
      </c>
      <c r="AA114" s="221" t="e">
        <f t="shared" si="4"/>
        <v>#NUM!</v>
      </c>
      <c r="AB114" s="226"/>
      <c r="AC114" s="226"/>
      <c r="AD114" s="226"/>
      <c r="AE114" s="226"/>
      <c r="AF114" s="226"/>
    </row>
    <row r="115" spans="1:32" x14ac:dyDescent="0.2">
      <c r="A115" s="221" t="str">
        <f>IF($D115="","",COUNTA($D$15:$D115))</f>
        <v/>
      </c>
      <c r="B115" s="235"/>
      <c r="C115" s="235"/>
      <c r="D115" s="235"/>
      <c r="E115" s="337"/>
      <c r="F115" s="337"/>
      <c r="G115" s="337"/>
      <c r="H115" s="338"/>
      <c r="I115" s="339" t="str">
        <f t="shared" si="0"/>
        <v/>
      </c>
      <c r="J115" s="236" t="str">
        <f ca="1">IFERROR(VLOOKUP($G115,INDIRECT("判定!"&amp;ADDRESS(ROW(判定!$N$2)+1,COLUMN(判定!$N$2)+MATCH($D115,判定!$N$2:$W$2,0)-1,4,1)&amp;":"&amp;ADDRESS(ROW(判定!$O$2)+4,COLUMN(判定!$N$2)+MATCH($D115,判定!$N$2:$W$2,0),4,1),1),2,1),"")</f>
        <v/>
      </c>
      <c r="K115" s="340"/>
      <c r="L115" s="341"/>
      <c r="M115" s="330"/>
      <c r="N115" s="330"/>
      <c r="O115" s="331"/>
      <c r="P115" s="237"/>
      <c r="Q115" s="234" t="str">
        <f>IF(COUNTIF(判定!$L$2:$L$9,$D115)&gt;0,$P115,"")</f>
        <v/>
      </c>
      <c r="R115" s="234" t="str">
        <f>IF(COUNTIF(判定!$L$10:$L$20,$D115)&gt;0,$P115,"")</f>
        <v/>
      </c>
      <c r="S115" s="234" t="str">
        <f>IF(COUNTIF(判定!$L$21,$D115)&gt;0,$P115,"")</f>
        <v/>
      </c>
      <c r="T115" s="341"/>
      <c r="V115" s="226"/>
      <c r="W115" s="221" t="str">
        <f>IF(OR($C115=判定!$K$2,$C115=判定!$K$3,$C115=判定!$K$4,$C115=判定!$K$5),"",IF(COUNTIF($C$15:$C115,$C115)=1,ROW(),""))</f>
        <v/>
      </c>
      <c r="X115" s="221">
        <f t="shared" si="3"/>
        <v>0</v>
      </c>
      <c r="Y115" s="221">
        <f>IF(COUNTIF($C:$C,$X115)&gt;0,1,0)+IF(OR(COUNTIFS($C:$C,$X115,$D:$D,判定!$L$2)&gt;0,COUNTIFS($C:$C,$X115,$D:$D,判定!$L$3)&gt;0,COUNTIFS($C:$C,$X115,$D:$D,判定!$L$4)&gt;0),1,0)+IF(COUNTIFS($C:$C,$X115,$D:$D,判定!$L$7)&gt;0,1,0)+IF(COUNTIFS($C:$C,$X115,$D:$D,判定!$L$8)&gt;0,1,0)+IF(COUNTIFS($C:$C,$X115,$D:$D,判定!$L$9)&gt;0,1,0)</f>
        <v>0</v>
      </c>
      <c r="Z115" s="221" t="str">
        <f>IF(Y115&gt;0,Y115*100+COUNTIF($Y$15:Y115,Y115),"")</f>
        <v/>
      </c>
      <c r="AA115" s="221" t="e">
        <f t="shared" si="4"/>
        <v>#NUM!</v>
      </c>
      <c r="AB115" s="226"/>
      <c r="AC115" s="226"/>
      <c r="AD115" s="226"/>
      <c r="AE115" s="226"/>
      <c r="AF115" s="226"/>
    </row>
    <row r="116" spans="1:32" x14ac:dyDescent="0.2">
      <c r="A116" s="221" t="str">
        <f>IF($D116="","",COUNTA($D$15:$D116))</f>
        <v/>
      </c>
      <c r="B116" s="235"/>
      <c r="C116" s="235"/>
      <c r="D116" s="235"/>
      <c r="E116" s="337"/>
      <c r="F116" s="337"/>
      <c r="G116" s="337"/>
      <c r="H116" s="338"/>
      <c r="I116" s="339" t="str">
        <f t="shared" si="0"/>
        <v/>
      </c>
      <c r="J116" s="236" t="str">
        <f ca="1">IFERROR(VLOOKUP($G116,INDIRECT("判定!"&amp;ADDRESS(ROW(判定!$N$2)+1,COLUMN(判定!$N$2)+MATCH($D116,判定!$N$2:$W$2,0)-1,4,1)&amp;":"&amp;ADDRESS(ROW(判定!$O$2)+4,COLUMN(判定!$N$2)+MATCH($D116,判定!$N$2:$W$2,0),4,1),1),2,1),"")</f>
        <v/>
      </c>
      <c r="K116" s="340"/>
      <c r="L116" s="341"/>
      <c r="M116" s="330"/>
      <c r="N116" s="330"/>
      <c r="O116" s="331"/>
      <c r="P116" s="237"/>
      <c r="Q116" s="234" t="str">
        <f>IF(COUNTIF(判定!$L$2:$L$9,$D116)&gt;0,$P116,"")</f>
        <v/>
      </c>
      <c r="R116" s="234" t="str">
        <f>IF(COUNTIF(判定!$L$10:$L$20,$D116)&gt;0,$P116,"")</f>
        <v/>
      </c>
      <c r="S116" s="234" t="str">
        <f>IF(COUNTIF(判定!$L$21,$D116)&gt;0,$P116,"")</f>
        <v/>
      </c>
      <c r="T116" s="341"/>
      <c r="V116" s="226"/>
      <c r="W116" s="221" t="str">
        <f>IF(OR($C116=判定!$K$2,$C116=判定!$K$3,$C116=判定!$K$4,$C116=判定!$K$5),"",IF(COUNTIF($C$15:$C116,$C116)=1,ROW(),""))</f>
        <v/>
      </c>
      <c r="X116" s="221">
        <f t="shared" si="3"/>
        <v>0</v>
      </c>
      <c r="Y116" s="221">
        <f>IF(COUNTIF($C:$C,$X116)&gt;0,1,0)+IF(OR(COUNTIFS($C:$C,$X116,$D:$D,判定!$L$2)&gt;0,COUNTIFS($C:$C,$X116,$D:$D,判定!$L$3)&gt;0,COUNTIFS($C:$C,$X116,$D:$D,判定!$L$4)&gt;0),1,0)+IF(COUNTIFS($C:$C,$X116,$D:$D,判定!$L$7)&gt;0,1,0)+IF(COUNTIFS($C:$C,$X116,$D:$D,判定!$L$8)&gt;0,1,0)+IF(COUNTIFS($C:$C,$X116,$D:$D,判定!$L$9)&gt;0,1,0)</f>
        <v>0</v>
      </c>
      <c r="Z116" s="221" t="str">
        <f>IF(Y116&gt;0,Y116*100+COUNTIF($Y$15:Y116,Y116),"")</f>
        <v/>
      </c>
      <c r="AA116" s="221" t="e">
        <f t="shared" si="4"/>
        <v>#NUM!</v>
      </c>
      <c r="AB116" s="226"/>
      <c r="AC116" s="226"/>
      <c r="AD116" s="226"/>
      <c r="AE116" s="226"/>
      <c r="AF116" s="226"/>
    </row>
    <row r="117" spans="1:32" x14ac:dyDescent="0.2">
      <c r="A117" s="221" t="str">
        <f>IF($D117="","",COUNTA($D$15:$D117))</f>
        <v/>
      </c>
      <c r="B117" s="235"/>
      <c r="C117" s="235"/>
      <c r="D117" s="235"/>
      <c r="E117" s="337"/>
      <c r="F117" s="337"/>
      <c r="G117" s="337"/>
      <c r="H117" s="338"/>
      <c r="I117" s="339" t="str">
        <f t="shared" si="0"/>
        <v/>
      </c>
      <c r="J117" s="236" t="str">
        <f ca="1">IFERROR(VLOOKUP($G117,INDIRECT("判定!"&amp;ADDRESS(ROW(判定!$N$2)+1,COLUMN(判定!$N$2)+MATCH($D117,判定!$N$2:$W$2,0)-1,4,1)&amp;":"&amp;ADDRESS(ROW(判定!$O$2)+4,COLUMN(判定!$N$2)+MATCH($D117,判定!$N$2:$W$2,0),4,1),1),2,1),"")</f>
        <v/>
      </c>
      <c r="K117" s="340"/>
      <c r="L117" s="341"/>
      <c r="M117" s="330"/>
      <c r="N117" s="330"/>
      <c r="O117" s="331"/>
      <c r="P117" s="237"/>
      <c r="Q117" s="234" t="str">
        <f>IF(COUNTIF(判定!$L$2:$L$9,$D117)&gt;0,$P117,"")</f>
        <v/>
      </c>
      <c r="R117" s="234" t="str">
        <f>IF(COUNTIF(判定!$L$10:$L$20,$D117)&gt;0,$P117,"")</f>
        <v/>
      </c>
      <c r="S117" s="234" t="str">
        <f>IF(COUNTIF(判定!$L$21,$D117)&gt;0,$P117,"")</f>
        <v/>
      </c>
      <c r="T117" s="341"/>
      <c r="V117" s="226"/>
      <c r="W117" s="221" t="str">
        <f>IF(OR($C117=判定!$K$2,$C117=判定!$K$3,$C117=判定!$K$4,$C117=判定!$K$5),"",IF(COUNTIF($C$15:$C117,$C117)=1,ROW(),""))</f>
        <v/>
      </c>
      <c r="X117" s="221">
        <f t="shared" si="3"/>
        <v>0</v>
      </c>
      <c r="Y117" s="221">
        <f>IF(COUNTIF($C:$C,$X117)&gt;0,1,0)+IF(OR(COUNTIFS($C:$C,$X117,$D:$D,判定!$L$2)&gt;0,COUNTIFS($C:$C,$X117,$D:$D,判定!$L$3)&gt;0,COUNTIFS($C:$C,$X117,$D:$D,判定!$L$4)&gt;0),1,0)+IF(COUNTIFS($C:$C,$X117,$D:$D,判定!$L$7)&gt;0,1,0)+IF(COUNTIFS($C:$C,$X117,$D:$D,判定!$L$8)&gt;0,1,0)+IF(COUNTIFS($C:$C,$X117,$D:$D,判定!$L$9)&gt;0,1,0)</f>
        <v>0</v>
      </c>
      <c r="Z117" s="221" t="str">
        <f>IF(Y117&gt;0,Y117*100+COUNTIF($Y$15:Y117,Y117),"")</f>
        <v/>
      </c>
      <c r="AA117" s="221" t="e">
        <f t="shared" si="4"/>
        <v>#NUM!</v>
      </c>
      <c r="AB117" s="226"/>
      <c r="AC117" s="226"/>
      <c r="AD117" s="226"/>
      <c r="AE117" s="226"/>
      <c r="AF117" s="226"/>
    </row>
    <row r="118" spans="1:32" x14ac:dyDescent="0.2">
      <c r="A118" s="221" t="str">
        <f>IF($D118="","",COUNTA($D$15:$D118))</f>
        <v/>
      </c>
      <c r="B118" s="235"/>
      <c r="C118" s="235"/>
      <c r="D118" s="235"/>
      <c r="E118" s="337"/>
      <c r="F118" s="337"/>
      <c r="G118" s="337"/>
      <c r="H118" s="338"/>
      <c r="I118" s="339" t="str">
        <f t="shared" si="0"/>
        <v/>
      </c>
      <c r="J118" s="236" t="str">
        <f ca="1">IFERROR(VLOOKUP($G118,INDIRECT("判定!"&amp;ADDRESS(ROW(判定!$N$2)+1,COLUMN(判定!$N$2)+MATCH($D118,判定!$N$2:$W$2,0)-1,4,1)&amp;":"&amp;ADDRESS(ROW(判定!$O$2)+4,COLUMN(判定!$N$2)+MATCH($D118,判定!$N$2:$W$2,0),4,1),1),2,1),"")</f>
        <v/>
      </c>
      <c r="K118" s="340"/>
      <c r="L118" s="341"/>
      <c r="M118" s="330"/>
      <c r="N118" s="330"/>
      <c r="O118" s="331"/>
      <c r="P118" s="237"/>
      <c r="Q118" s="234" t="str">
        <f>IF(COUNTIF(判定!$L$2:$L$9,$D118)&gt;0,$P118,"")</f>
        <v/>
      </c>
      <c r="R118" s="234" t="str">
        <f>IF(COUNTIF(判定!$L$10:$L$20,$D118)&gt;0,$P118,"")</f>
        <v/>
      </c>
      <c r="S118" s="234" t="str">
        <f>IF(COUNTIF(判定!$L$21,$D118)&gt;0,$P118,"")</f>
        <v/>
      </c>
      <c r="T118" s="341"/>
      <c r="V118" s="226"/>
      <c r="W118" s="221" t="str">
        <f>IF(OR($C118=判定!$K$2,$C118=判定!$K$3,$C118=判定!$K$4,$C118=判定!$K$5),"",IF(COUNTIF($C$15:$C118,$C118)=1,ROW(),""))</f>
        <v/>
      </c>
      <c r="X118" s="221">
        <f t="shared" si="3"/>
        <v>0</v>
      </c>
      <c r="Y118" s="221">
        <f>IF(COUNTIF($C:$C,$X118)&gt;0,1,0)+IF(OR(COUNTIFS($C:$C,$X118,$D:$D,判定!$L$2)&gt;0,COUNTIFS($C:$C,$X118,$D:$D,判定!$L$3)&gt;0,COUNTIFS($C:$C,$X118,$D:$D,判定!$L$4)&gt;0),1,0)+IF(COUNTIFS($C:$C,$X118,$D:$D,判定!$L$7)&gt;0,1,0)+IF(COUNTIFS($C:$C,$X118,$D:$D,判定!$L$8)&gt;0,1,0)+IF(COUNTIFS($C:$C,$X118,$D:$D,判定!$L$9)&gt;0,1,0)</f>
        <v>0</v>
      </c>
      <c r="Z118" s="221" t="str">
        <f>IF(Y118&gt;0,Y118*100+COUNTIF($Y$15:Y118,Y118),"")</f>
        <v/>
      </c>
      <c r="AA118" s="221" t="e">
        <f t="shared" si="4"/>
        <v>#NUM!</v>
      </c>
      <c r="AB118" s="226"/>
      <c r="AC118" s="226"/>
      <c r="AD118" s="226"/>
      <c r="AE118" s="226"/>
      <c r="AF118" s="226"/>
    </row>
    <row r="119" spans="1:32" x14ac:dyDescent="0.2">
      <c r="A119" s="221" t="str">
        <f>IF($D119="","",COUNTA($D$15:$D119))</f>
        <v/>
      </c>
      <c r="B119" s="235"/>
      <c r="C119" s="235"/>
      <c r="D119" s="235"/>
      <c r="E119" s="337"/>
      <c r="F119" s="337"/>
      <c r="G119" s="337"/>
      <c r="H119" s="338"/>
      <c r="I119" s="339" t="str">
        <f t="shared" si="0"/>
        <v/>
      </c>
      <c r="J119" s="236" t="str">
        <f ca="1">IFERROR(VLOOKUP($G119,INDIRECT("判定!"&amp;ADDRESS(ROW(判定!$N$2)+1,COLUMN(判定!$N$2)+MATCH($D119,判定!$N$2:$W$2,0)-1,4,1)&amp;":"&amp;ADDRESS(ROW(判定!$O$2)+4,COLUMN(判定!$N$2)+MATCH($D119,判定!$N$2:$W$2,0),4,1),1),2,1),"")</f>
        <v/>
      </c>
      <c r="K119" s="340"/>
      <c r="L119" s="341"/>
      <c r="M119" s="330"/>
      <c r="N119" s="330"/>
      <c r="O119" s="331"/>
      <c r="P119" s="237"/>
      <c r="Q119" s="234" t="str">
        <f>IF(COUNTIF(判定!$L$2:$L$9,$D119)&gt;0,$P119,"")</f>
        <v/>
      </c>
      <c r="R119" s="234" t="str">
        <f>IF(COUNTIF(判定!$L$10:$L$20,$D119)&gt;0,$P119,"")</f>
        <v/>
      </c>
      <c r="S119" s="234" t="str">
        <f>IF(COUNTIF(判定!$L$21,$D119)&gt;0,$P119,"")</f>
        <v/>
      </c>
      <c r="T119" s="341"/>
      <c r="V119" s="226"/>
      <c r="W119" s="221" t="str">
        <f>IF(OR($C119=判定!$K$2,$C119=判定!$K$3,$C119=判定!$K$4,$C119=判定!$K$5),"",IF(COUNTIF($C$15:$C119,$C119)=1,ROW(),""))</f>
        <v/>
      </c>
      <c r="X119" s="221">
        <f t="shared" si="3"/>
        <v>0</v>
      </c>
      <c r="Y119" s="221">
        <f>IF(COUNTIF($C:$C,$X119)&gt;0,1,0)+IF(OR(COUNTIFS($C:$C,$X119,$D:$D,判定!$L$2)&gt;0,COUNTIFS($C:$C,$X119,$D:$D,判定!$L$3)&gt;0,COUNTIFS($C:$C,$X119,$D:$D,判定!$L$4)&gt;0),1,0)+IF(COUNTIFS($C:$C,$X119,$D:$D,判定!$L$7)&gt;0,1,0)+IF(COUNTIFS($C:$C,$X119,$D:$D,判定!$L$8)&gt;0,1,0)+IF(COUNTIFS($C:$C,$X119,$D:$D,判定!$L$9)&gt;0,1,0)</f>
        <v>0</v>
      </c>
      <c r="Z119" s="221" t="str">
        <f>IF(Y119&gt;0,Y119*100+COUNTIF($Y$15:Y119,Y119),"")</f>
        <v/>
      </c>
      <c r="AA119" s="221" t="e">
        <f t="shared" si="4"/>
        <v>#NUM!</v>
      </c>
      <c r="AB119" s="226"/>
      <c r="AC119" s="226"/>
      <c r="AD119" s="226"/>
      <c r="AE119" s="226"/>
      <c r="AF119" s="226"/>
    </row>
    <row r="120" spans="1:32" x14ac:dyDescent="0.2">
      <c r="A120" s="221" t="str">
        <f>IF($D120="","",COUNTA($D$15:$D120))</f>
        <v/>
      </c>
      <c r="B120" s="235"/>
      <c r="C120" s="235"/>
      <c r="D120" s="235"/>
      <c r="E120" s="337"/>
      <c r="F120" s="337"/>
      <c r="G120" s="337"/>
      <c r="H120" s="338"/>
      <c r="I120" s="339" t="str">
        <f t="shared" si="0"/>
        <v/>
      </c>
      <c r="J120" s="236" t="str">
        <f ca="1">IFERROR(VLOOKUP($G120,INDIRECT("判定!"&amp;ADDRESS(ROW(判定!$N$2)+1,COLUMN(判定!$N$2)+MATCH($D120,判定!$N$2:$W$2,0)-1,4,1)&amp;":"&amp;ADDRESS(ROW(判定!$O$2)+4,COLUMN(判定!$N$2)+MATCH($D120,判定!$N$2:$W$2,0),4,1),1),2,1),"")</f>
        <v/>
      </c>
      <c r="K120" s="340"/>
      <c r="L120" s="341"/>
      <c r="M120" s="330"/>
      <c r="N120" s="330"/>
      <c r="O120" s="331"/>
      <c r="P120" s="237"/>
      <c r="Q120" s="234" t="str">
        <f>IF(COUNTIF(判定!$L$2:$L$9,$D120)&gt;0,$P120,"")</f>
        <v/>
      </c>
      <c r="R120" s="234" t="str">
        <f>IF(COUNTIF(判定!$L$10:$L$20,$D120)&gt;0,$P120,"")</f>
        <v/>
      </c>
      <c r="S120" s="234" t="str">
        <f>IF(COUNTIF(判定!$L$21,$D120)&gt;0,$P120,"")</f>
        <v/>
      </c>
      <c r="T120" s="341"/>
      <c r="V120" s="226"/>
      <c r="W120" s="221" t="str">
        <f>IF(OR($C120=判定!$K$2,$C120=判定!$K$3,$C120=判定!$K$4,$C120=判定!$K$5),"",IF(COUNTIF($C$15:$C120,$C120)=1,ROW(),""))</f>
        <v/>
      </c>
      <c r="X120" s="221">
        <f t="shared" si="3"/>
        <v>0</v>
      </c>
      <c r="Y120" s="221">
        <f>IF(COUNTIF($C:$C,$X120)&gt;0,1,0)+IF(OR(COUNTIFS($C:$C,$X120,$D:$D,判定!$L$2)&gt;0,COUNTIFS($C:$C,$X120,$D:$D,判定!$L$3)&gt;0,COUNTIFS($C:$C,$X120,$D:$D,判定!$L$4)&gt;0),1,0)+IF(COUNTIFS($C:$C,$X120,$D:$D,判定!$L$7)&gt;0,1,0)+IF(COUNTIFS($C:$C,$X120,$D:$D,判定!$L$8)&gt;0,1,0)+IF(COUNTIFS($C:$C,$X120,$D:$D,判定!$L$9)&gt;0,1,0)</f>
        <v>0</v>
      </c>
      <c r="Z120" s="221" t="str">
        <f>IF(Y120&gt;0,Y120*100+COUNTIF($Y$15:Y120,Y120),"")</f>
        <v/>
      </c>
      <c r="AA120" s="221" t="e">
        <f t="shared" si="4"/>
        <v>#NUM!</v>
      </c>
      <c r="AB120" s="226"/>
      <c r="AC120" s="226"/>
      <c r="AD120" s="226"/>
      <c r="AE120" s="226"/>
      <c r="AF120" s="226"/>
    </row>
    <row r="121" spans="1:32" x14ac:dyDescent="0.2">
      <c r="A121" s="221" t="str">
        <f>IF($D121="","",COUNTA($D$15:$D121))</f>
        <v/>
      </c>
      <c r="B121" s="235"/>
      <c r="C121" s="235"/>
      <c r="D121" s="235"/>
      <c r="E121" s="337"/>
      <c r="F121" s="337"/>
      <c r="G121" s="337"/>
      <c r="H121" s="338"/>
      <c r="I121" s="339" t="str">
        <f t="shared" si="0"/>
        <v/>
      </c>
      <c r="J121" s="236" t="str">
        <f ca="1">IFERROR(VLOOKUP($G121,INDIRECT("判定!"&amp;ADDRESS(ROW(判定!$N$2)+1,COLUMN(判定!$N$2)+MATCH($D121,判定!$N$2:$W$2,0)-1,4,1)&amp;":"&amp;ADDRESS(ROW(判定!$O$2)+4,COLUMN(判定!$N$2)+MATCH($D121,判定!$N$2:$W$2,0),4,1),1),2,1),"")</f>
        <v/>
      </c>
      <c r="K121" s="340"/>
      <c r="L121" s="341"/>
      <c r="M121" s="330"/>
      <c r="N121" s="330"/>
      <c r="O121" s="331"/>
      <c r="P121" s="237"/>
      <c r="Q121" s="234" t="str">
        <f>IF(COUNTIF(判定!$L$2:$L$9,$D121)&gt;0,$P121,"")</f>
        <v/>
      </c>
      <c r="R121" s="234" t="str">
        <f>IF(COUNTIF(判定!$L$10:$L$20,$D121)&gt;0,$P121,"")</f>
        <v/>
      </c>
      <c r="S121" s="234" t="str">
        <f>IF(COUNTIF(判定!$L$21,$D121)&gt;0,$P121,"")</f>
        <v/>
      </c>
      <c r="T121" s="341"/>
      <c r="V121" s="226"/>
      <c r="W121" s="221" t="str">
        <f>IF(OR($C121=判定!$K$2,$C121=判定!$K$3,$C121=判定!$K$4,$C121=判定!$K$5),"",IF(COUNTIF($C$15:$C121,$C121)=1,ROW(),""))</f>
        <v/>
      </c>
      <c r="X121" s="221">
        <f t="shared" si="3"/>
        <v>0</v>
      </c>
      <c r="Y121" s="221">
        <f>IF(COUNTIF($C:$C,$X121)&gt;0,1,0)+IF(OR(COUNTIFS($C:$C,$X121,$D:$D,判定!$L$2)&gt;0,COUNTIFS($C:$C,$X121,$D:$D,判定!$L$3)&gt;0,COUNTIFS($C:$C,$X121,$D:$D,判定!$L$4)&gt;0),1,0)+IF(COUNTIFS($C:$C,$X121,$D:$D,判定!$L$7)&gt;0,1,0)+IF(COUNTIFS($C:$C,$X121,$D:$D,判定!$L$8)&gt;0,1,0)+IF(COUNTIFS($C:$C,$X121,$D:$D,判定!$L$9)&gt;0,1,0)</f>
        <v>0</v>
      </c>
      <c r="Z121" s="221" t="str">
        <f>IF(Y121&gt;0,Y121*100+COUNTIF($Y$15:Y121,Y121),"")</f>
        <v/>
      </c>
      <c r="AA121" s="221" t="e">
        <f t="shared" si="4"/>
        <v>#NUM!</v>
      </c>
      <c r="AB121" s="226"/>
      <c r="AC121" s="226"/>
      <c r="AD121" s="226"/>
      <c r="AE121" s="226"/>
      <c r="AF121" s="226"/>
    </row>
    <row r="122" spans="1:32" x14ac:dyDescent="0.2">
      <c r="A122" s="221" t="str">
        <f>IF($D122="","",COUNTA($D$15:$D122))</f>
        <v/>
      </c>
      <c r="B122" s="235"/>
      <c r="C122" s="235"/>
      <c r="D122" s="235"/>
      <c r="E122" s="337"/>
      <c r="F122" s="337"/>
      <c r="G122" s="337"/>
      <c r="H122" s="338"/>
      <c r="I122" s="339" t="str">
        <f t="shared" si="0"/>
        <v/>
      </c>
      <c r="J122" s="236" t="str">
        <f ca="1">IFERROR(VLOOKUP($G122,INDIRECT("判定!"&amp;ADDRESS(ROW(判定!$N$2)+1,COLUMN(判定!$N$2)+MATCH($D122,判定!$N$2:$W$2,0)-1,4,1)&amp;":"&amp;ADDRESS(ROW(判定!$O$2)+4,COLUMN(判定!$N$2)+MATCH($D122,判定!$N$2:$W$2,0),4,1),1),2,1),"")</f>
        <v/>
      </c>
      <c r="K122" s="340"/>
      <c r="L122" s="341"/>
      <c r="M122" s="330"/>
      <c r="N122" s="330"/>
      <c r="O122" s="331"/>
      <c r="P122" s="237"/>
      <c r="Q122" s="234" t="str">
        <f>IF(COUNTIF(判定!$L$2:$L$9,$D122)&gt;0,$P122,"")</f>
        <v/>
      </c>
      <c r="R122" s="234" t="str">
        <f>IF(COUNTIF(判定!$L$10:$L$20,$D122)&gt;0,$P122,"")</f>
        <v/>
      </c>
      <c r="S122" s="234" t="str">
        <f>IF(COUNTIF(判定!$L$21,$D122)&gt;0,$P122,"")</f>
        <v/>
      </c>
      <c r="T122" s="341"/>
      <c r="V122" s="226"/>
      <c r="W122" s="221" t="str">
        <f>IF(OR($C122=判定!$K$2,$C122=判定!$K$3,$C122=判定!$K$4,$C122=判定!$K$5),"",IF(COUNTIF($C$15:$C122,$C122)=1,ROW(),""))</f>
        <v/>
      </c>
      <c r="X122" s="221">
        <f t="shared" si="3"/>
        <v>0</v>
      </c>
      <c r="Y122" s="221">
        <f>IF(COUNTIF($C:$C,$X122)&gt;0,1,0)+IF(OR(COUNTIFS($C:$C,$X122,$D:$D,判定!$L$2)&gt;0,COUNTIFS($C:$C,$X122,$D:$D,判定!$L$3)&gt;0,COUNTIFS($C:$C,$X122,$D:$D,判定!$L$4)&gt;0),1,0)+IF(COUNTIFS($C:$C,$X122,$D:$D,判定!$L$7)&gt;0,1,0)+IF(COUNTIFS($C:$C,$X122,$D:$D,判定!$L$8)&gt;0,1,0)+IF(COUNTIFS($C:$C,$X122,$D:$D,判定!$L$9)&gt;0,1,0)</f>
        <v>0</v>
      </c>
      <c r="Z122" s="221" t="str">
        <f>IF(Y122&gt;0,Y122*100+COUNTIF($Y$15:Y122,Y122),"")</f>
        <v/>
      </c>
      <c r="AA122" s="221" t="e">
        <f t="shared" si="4"/>
        <v>#NUM!</v>
      </c>
      <c r="AB122" s="226"/>
      <c r="AC122" s="226"/>
      <c r="AD122" s="226"/>
      <c r="AE122" s="226"/>
      <c r="AF122" s="226"/>
    </row>
    <row r="123" spans="1:32" x14ac:dyDescent="0.2">
      <c r="A123" s="221" t="str">
        <f>IF($D123="","",COUNTA($D$15:$D123))</f>
        <v/>
      </c>
      <c r="B123" s="235"/>
      <c r="C123" s="235"/>
      <c r="D123" s="235"/>
      <c r="E123" s="337"/>
      <c r="F123" s="337"/>
      <c r="G123" s="337"/>
      <c r="H123" s="338"/>
      <c r="I123" s="339" t="str">
        <f t="shared" si="0"/>
        <v/>
      </c>
      <c r="J123" s="236" t="str">
        <f ca="1">IFERROR(VLOOKUP($G123,INDIRECT("判定!"&amp;ADDRESS(ROW(判定!$N$2)+1,COLUMN(判定!$N$2)+MATCH($D123,判定!$N$2:$W$2,0)-1,4,1)&amp;":"&amp;ADDRESS(ROW(判定!$O$2)+4,COLUMN(判定!$N$2)+MATCH($D123,判定!$N$2:$W$2,0),4,1),1),2,1),"")</f>
        <v/>
      </c>
      <c r="K123" s="340"/>
      <c r="L123" s="341"/>
      <c r="M123" s="330"/>
      <c r="N123" s="330"/>
      <c r="O123" s="331"/>
      <c r="P123" s="237"/>
      <c r="Q123" s="234" t="str">
        <f>IF(COUNTIF(判定!$L$2:$L$9,$D123)&gt;0,$P123,"")</f>
        <v/>
      </c>
      <c r="R123" s="234" t="str">
        <f>IF(COUNTIF(判定!$L$10:$L$20,$D123)&gt;0,$P123,"")</f>
        <v/>
      </c>
      <c r="S123" s="234" t="str">
        <f>IF(COUNTIF(判定!$L$21,$D123)&gt;0,$P123,"")</f>
        <v/>
      </c>
      <c r="T123" s="341"/>
      <c r="V123" s="226"/>
      <c r="W123" s="221" t="str">
        <f>IF(OR($C123=判定!$K$2,$C123=判定!$K$3,$C123=判定!$K$4,$C123=判定!$K$5),"",IF(COUNTIF($C$15:$C123,$C123)=1,ROW(),""))</f>
        <v/>
      </c>
      <c r="X123" s="221">
        <f t="shared" si="3"/>
        <v>0</v>
      </c>
      <c r="Y123" s="221">
        <f>IF(COUNTIF($C:$C,$X123)&gt;0,1,0)+IF(OR(COUNTIFS($C:$C,$X123,$D:$D,判定!$L$2)&gt;0,COUNTIFS($C:$C,$X123,$D:$D,判定!$L$3)&gt;0,COUNTIFS($C:$C,$X123,$D:$D,判定!$L$4)&gt;0),1,0)+IF(COUNTIFS($C:$C,$X123,$D:$D,判定!$L$7)&gt;0,1,0)+IF(COUNTIFS($C:$C,$X123,$D:$D,判定!$L$8)&gt;0,1,0)+IF(COUNTIFS($C:$C,$X123,$D:$D,判定!$L$9)&gt;0,1,0)</f>
        <v>0</v>
      </c>
      <c r="Z123" s="221" t="str">
        <f>IF(Y123&gt;0,Y123*100+COUNTIF($Y$15:Y123,Y123),"")</f>
        <v/>
      </c>
      <c r="AA123" s="221" t="e">
        <f t="shared" si="4"/>
        <v>#NUM!</v>
      </c>
      <c r="AB123" s="226"/>
      <c r="AC123" s="226"/>
      <c r="AD123" s="226"/>
      <c r="AE123" s="226"/>
      <c r="AF123" s="226"/>
    </row>
    <row r="124" spans="1:32" x14ac:dyDescent="0.2">
      <c r="A124" s="221" t="str">
        <f>IF($D124="","",COUNTA($D$15:$D124))</f>
        <v/>
      </c>
      <c r="B124" s="235"/>
      <c r="C124" s="235"/>
      <c r="D124" s="235"/>
      <c r="E124" s="337"/>
      <c r="F124" s="337"/>
      <c r="G124" s="337"/>
      <c r="H124" s="338"/>
      <c r="I124" s="339" t="str">
        <f t="shared" si="0"/>
        <v/>
      </c>
      <c r="J124" s="236" t="str">
        <f ca="1">IFERROR(VLOOKUP($G124,INDIRECT("判定!"&amp;ADDRESS(ROW(判定!$N$2)+1,COLUMN(判定!$N$2)+MATCH($D124,判定!$N$2:$W$2,0)-1,4,1)&amp;":"&amp;ADDRESS(ROW(判定!$O$2)+4,COLUMN(判定!$N$2)+MATCH($D124,判定!$N$2:$W$2,0),4,1),1),2,1),"")</f>
        <v/>
      </c>
      <c r="K124" s="340"/>
      <c r="L124" s="341"/>
      <c r="M124" s="330"/>
      <c r="N124" s="330"/>
      <c r="O124" s="331"/>
      <c r="P124" s="237"/>
      <c r="Q124" s="234" t="str">
        <f>IF(COUNTIF(判定!$L$2:$L$9,$D124)&gt;0,$P124,"")</f>
        <v/>
      </c>
      <c r="R124" s="234" t="str">
        <f>IF(COUNTIF(判定!$L$10:$L$20,$D124)&gt;0,$P124,"")</f>
        <v/>
      </c>
      <c r="S124" s="234" t="str">
        <f>IF(COUNTIF(判定!$L$21,$D124)&gt;0,$P124,"")</f>
        <v/>
      </c>
      <c r="T124" s="341"/>
      <c r="V124" s="226"/>
      <c r="W124" s="221" t="str">
        <f>IF(OR($C124=判定!$K$2,$C124=判定!$K$3,$C124=判定!$K$4,$C124=判定!$K$5),"",IF(COUNTIF($C$15:$C124,$C124)=1,ROW(),""))</f>
        <v/>
      </c>
      <c r="X124" s="221">
        <f t="shared" si="3"/>
        <v>0</v>
      </c>
      <c r="Y124" s="221">
        <f>IF(COUNTIF($C:$C,$X124)&gt;0,1,0)+IF(OR(COUNTIFS($C:$C,$X124,$D:$D,判定!$L$2)&gt;0,COUNTIFS($C:$C,$X124,$D:$D,判定!$L$3)&gt;0,COUNTIFS($C:$C,$X124,$D:$D,判定!$L$4)&gt;0),1,0)+IF(COUNTIFS($C:$C,$X124,$D:$D,判定!$L$7)&gt;0,1,0)+IF(COUNTIFS($C:$C,$X124,$D:$D,判定!$L$8)&gt;0,1,0)+IF(COUNTIFS($C:$C,$X124,$D:$D,判定!$L$9)&gt;0,1,0)</f>
        <v>0</v>
      </c>
      <c r="Z124" s="221" t="str">
        <f>IF(Y124&gt;0,Y124*100+COUNTIF($Y$15:Y124,Y124),"")</f>
        <v/>
      </c>
      <c r="AA124" s="221" t="e">
        <f t="shared" si="4"/>
        <v>#NUM!</v>
      </c>
      <c r="AB124" s="226"/>
      <c r="AC124" s="226"/>
      <c r="AD124" s="226"/>
      <c r="AE124" s="226"/>
      <c r="AF124" s="226"/>
    </row>
    <row r="125" spans="1:32" x14ac:dyDescent="0.2">
      <c r="A125" s="221" t="str">
        <f>IF($D125="","",COUNTA($D$15:$D125))</f>
        <v/>
      </c>
      <c r="B125" s="235"/>
      <c r="C125" s="235"/>
      <c r="D125" s="235"/>
      <c r="E125" s="337"/>
      <c r="F125" s="337"/>
      <c r="G125" s="337"/>
      <c r="H125" s="338"/>
      <c r="I125" s="339" t="str">
        <f t="shared" si="0"/>
        <v/>
      </c>
      <c r="J125" s="236" t="str">
        <f ca="1">IFERROR(VLOOKUP($G125,INDIRECT("判定!"&amp;ADDRESS(ROW(判定!$N$2)+1,COLUMN(判定!$N$2)+MATCH($D125,判定!$N$2:$W$2,0)-1,4,1)&amp;":"&amp;ADDRESS(ROW(判定!$O$2)+4,COLUMN(判定!$N$2)+MATCH($D125,判定!$N$2:$W$2,0),4,1),1),2,1),"")</f>
        <v/>
      </c>
      <c r="K125" s="340"/>
      <c r="L125" s="341"/>
      <c r="M125" s="330"/>
      <c r="N125" s="330"/>
      <c r="O125" s="331"/>
      <c r="P125" s="237"/>
      <c r="Q125" s="234" t="str">
        <f>IF(COUNTIF(判定!$L$2:$L$9,$D125)&gt;0,$P125,"")</f>
        <v/>
      </c>
      <c r="R125" s="234" t="str">
        <f>IF(COUNTIF(判定!$L$10:$L$20,$D125)&gt;0,$P125,"")</f>
        <v/>
      </c>
      <c r="S125" s="234" t="str">
        <f>IF(COUNTIF(判定!$L$21,$D125)&gt;0,$P125,"")</f>
        <v/>
      </c>
      <c r="T125" s="341"/>
      <c r="V125" s="226"/>
      <c r="W125" s="221" t="str">
        <f>IF(OR($C125=判定!$K$2,$C125=判定!$K$3,$C125=判定!$K$4,$C125=判定!$K$5),"",IF(COUNTIF($C$15:$C125,$C125)=1,ROW(),""))</f>
        <v/>
      </c>
      <c r="X125" s="221">
        <f t="shared" si="3"/>
        <v>0</v>
      </c>
      <c r="Y125" s="221">
        <f>IF(COUNTIF($C:$C,$X125)&gt;0,1,0)+IF(OR(COUNTIFS($C:$C,$X125,$D:$D,判定!$L$2)&gt;0,COUNTIFS($C:$C,$X125,$D:$D,判定!$L$3)&gt;0,COUNTIFS($C:$C,$X125,$D:$D,判定!$L$4)&gt;0),1,0)+IF(COUNTIFS($C:$C,$X125,$D:$D,判定!$L$7)&gt;0,1,0)+IF(COUNTIFS($C:$C,$X125,$D:$D,判定!$L$8)&gt;0,1,0)+IF(COUNTIFS($C:$C,$X125,$D:$D,判定!$L$9)&gt;0,1,0)</f>
        <v>0</v>
      </c>
      <c r="Z125" s="221" t="str">
        <f>IF(Y125&gt;0,Y125*100+COUNTIF($Y$15:Y125,Y125),"")</f>
        <v/>
      </c>
      <c r="AA125" s="221" t="e">
        <f t="shared" si="4"/>
        <v>#NUM!</v>
      </c>
      <c r="AB125" s="226"/>
      <c r="AC125" s="226"/>
      <c r="AD125" s="226"/>
      <c r="AE125" s="226"/>
      <c r="AF125" s="226"/>
    </row>
    <row r="126" spans="1:32" x14ac:dyDescent="0.2">
      <c r="A126" s="221" t="str">
        <f>IF($D126="","",COUNTA($D$15:$D126))</f>
        <v/>
      </c>
      <c r="B126" s="235"/>
      <c r="C126" s="235"/>
      <c r="D126" s="235"/>
      <c r="E126" s="337"/>
      <c r="F126" s="337"/>
      <c r="G126" s="337"/>
      <c r="H126" s="338"/>
      <c r="I126" s="339" t="str">
        <f t="shared" si="0"/>
        <v/>
      </c>
      <c r="J126" s="236" t="str">
        <f ca="1">IFERROR(VLOOKUP($G126,INDIRECT("判定!"&amp;ADDRESS(ROW(判定!$N$2)+1,COLUMN(判定!$N$2)+MATCH($D126,判定!$N$2:$W$2,0)-1,4,1)&amp;":"&amp;ADDRESS(ROW(判定!$O$2)+4,COLUMN(判定!$N$2)+MATCH($D126,判定!$N$2:$W$2,0),4,1),1),2,1),"")</f>
        <v/>
      </c>
      <c r="K126" s="340"/>
      <c r="L126" s="341"/>
      <c r="M126" s="330"/>
      <c r="N126" s="330"/>
      <c r="O126" s="331"/>
      <c r="P126" s="237"/>
      <c r="Q126" s="234" t="str">
        <f>IF(COUNTIF(判定!$L$2:$L$9,$D126)&gt;0,$P126,"")</f>
        <v/>
      </c>
      <c r="R126" s="234" t="str">
        <f>IF(COUNTIF(判定!$L$10:$L$20,$D126)&gt;0,$P126,"")</f>
        <v/>
      </c>
      <c r="S126" s="234" t="str">
        <f>IF(COUNTIF(判定!$L$21,$D126)&gt;0,$P126,"")</f>
        <v/>
      </c>
      <c r="T126" s="341"/>
      <c r="V126" s="226"/>
      <c r="W126" s="221" t="str">
        <f>IF(OR($C126=判定!$K$2,$C126=判定!$K$3,$C126=判定!$K$4,$C126=判定!$K$5),"",IF(COUNTIF($C$15:$C126,$C126)=1,ROW(),""))</f>
        <v/>
      </c>
      <c r="X126" s="221">
        <f t="shared" si="3"/>
        <v>0</v>
      </c>
      <c r="Y126" s="221">
        <f>IF(COUNTIF($C:$C,$X126)&gt;0,1,0)+IF(OR(COUNTIFS($C:$C,$X126,$D:$D,判定!$L$2)&gt;0,COUNTIFS($C:$C,$X126,$D:$D,判定!$L$3)&gt;0,COUNTIFS($C:$C,$X126,$D:$D,判定!$L$4)&gt;0),1,0)+IF(COUNTIFS($C:$C,$X126,$D:$D,判定!$L$7)&gt;0,1,0)+IF(COUNTIFS($C:$C,$X126,$D:$D,判定!$L$8)&gt;0,1,0)+IF(COUNTIFS($C:$C,$X126,$D:$D,判定!$L$9)&gt;0,1,0)</f>
        <v>0</v>
      </c>
      <c r="Z126" s="221" t="str">
        <f>IF(Y126&gt;0,Y126*100+COUNTIF($Y$15:Y126,Y126),"")</f>
        <v/>
      </c>
      <c r="AA126" s="221" t="e">
        <f t="shared" si="4"/>
        <v>#NUM!</v>
      </c>
      <c r="AB126" s="226"/>
      <c r="AC126" s="226"/>
      <c r="AD126" s="226"/>
      <c r="AE126" s="226"/>
      <c r="AF126" s="226"/>
    </row>
    <row r="127" spans="1:32" x14ac:dyDescent="0.2">
      <c r="A127" s="221" t="str">
        <f>IF($D127="","",COUNTA($D$15:$D127))</f>
        <v/>
      </c>
      <c r="B127" s="235"/>
      <c r="C127" s="235"/>
      <c r="D127" s="235"/>
      <c r="E127" s="337"/>
      <c r="F127" s="337"/>
      <c r="G127" s="337"/>
      <c r="H127" s="338"/>
      <c r="I127" s="339" t="str">
        <f t="shared" si="0"/>
        <v/>
      </c>
      <c r="J127" s="236" t="str">
        <f ca="1">IFERROR(VLOOKUP($G127,INDIRECT("判定!"&amp;ADDRESS(ROW(判定!$N$2)+1,COLUMN(判定!$N$2)+MATCH($D127,判定!$N$2:$W$2,0)-1,4,1)&amp;":"&amp;ADDRESS(ROW(判定!$O$2)+4,COLUMN(判定!$N$2)+MATCH($D127,判定!$N$2:$W$2,0),4,1),1),2,1),"")</f>
        <v/>
      </c>
      <c r="K127" s="340"/>
      <c r="L127" s="341"/>
      <c r="M127" s="330"/>
      <c r="N127" s="330"/>
      <c r="O127" s="331"/>
      <c r="P127" s="237"/>
      <c r="Q127" s="234" t="str">
        <f>IF(COUNTIF(判定!$L$2:$L$9,$D127)&gt;0,$P127,"")</f>
        <v/>
      </c>
      <c r="R127" s="234" t="str">
        <f>IF(COUNTIF(判定!$L$10:$L$20,$D127)&gt;0,$P127,"")</f>
        <v/>
      </c>
      <c r="S127" s="234" t="str">
        <f>IF(COUNTIF(判定!$L$21,$D127)&gt;0,$P127,"")</f>
        <v/>
      </c>
      <c r="T127" s="341"/>
      <c r="V127" s="226"/>
      <c r="W127" s="221" t="str">
        <f>IF(OR($C127=判定!$K$2,$C127=判定!$K$3,$C127=判定!$K$4,$C127=判定!$K$5),"",IF(COUNTIF($C$15:$C127,$C127)=1,ROW(),""))</f>
        <v/>
      </c>
      <c r="X127" s="221">
        <f t="shared" si="3"/>
        <v>0</v>
      </c>
      <c r="Y127" s="221">
        <f>IF(COUNTIF($C:$C,$X127)&gt;0,1,0)+IF(OR(COUNTIFS($C:$C,$X127,$D:$D,判定!$L$2)&gt;0,COUNTIFS($C:$C,$X127,$D:$D,判定!$L$3)&gt;0,COUNTIFS($C:$C,$X127,$D:$D,判定!$L$4)&gt;0),1,0)+IF(COUNTIFS($C:$C,$X127,$D:$D,判定!$L$7)&gt;0,1,0)+IF(COUNTIFS($C:$C,$X127,$D:$D,判定!$L$8)&gt;0,1,0)+IF(COUNTIFS($C:$C,$X127,$D:$D,判定!$L$9)&gt;0,1,0)</f>
        <v>0</v>
      </c>
      <c r="Z127" s="221" t="str">
        <f>IF(Y127&gt;0,Y127*100+COUNTIF($Y$15:Y127,Y127),"")</f>
        <v/>
      </c>
      <c r="AA127" s="221" t="e">
        <f t="shared" si="4"/>
        <v>#NUM!</v>
      </c>
      <c r="AB127" s="226"/>
      <c r="AC127" s="226"/>
      <c r="AD127" s="226"/>
      <c r="AE127" s="226"/>
      <c r="AF127" s="226"/>
    </row>
    <row r="128" spans="1:32" x14ac:dyDescent="0.2">
      <c r="A128" s="221" t="str">
        <f>IF($D128="","",COUNTA($D$15:$D128))</f>
        <v/>
      </c>
      <c r="B128" s="235"/>
      <c r="C128" s="235"/>
      <c r="D128" s="235"/>
      <c r="E128" s="337"/>
      <c r="F128" s="337"/>
      <c r="G128" s="337"/>
      <c r="H128" s="338"/>
      <c r="I128" s="339" t="str">
        <f t="shared" si="0"/>
        <v/>
      </c>
      <c r="J128" s="236" t="str">
        <f ca="1">IFERROR(VLOOKUP($G128,INDIRECT("判定!"&amp;ADDRESS(ROW(判定!$N$2)+1,COLUMN(判定!$N$2)+MATCH($D128,判定!$N$2:$W$2,0)-1,4,1)&amp;":"&amp;ADDRESS(ROW(判定!$O$2)+4,COLUMN(判定!$N$2)+MATCH($D128,判定!$N$2:$W$2,0),4,1),1),2,1),"")</f>
        <v/>
      </c>
      <c r="K128" s="340"/>
      <c r="L128" s="341"/>
      <c r="M128" s="330"/>
      <c r="N128" s="330"/>
      <c r="O128" s="331"/>
      <c r="P128" s="237"/>
      <c r="Q128" s="234" t="str">
        <f>IF(COUNTIF(判定!$L$2:$L$9,$D128)&gt;0,$P128,"")</f>
        <v/>
      </c>
      <c r="R128" s="234" t="str">
        <f>IF(COUNTIF(判定!$L$10:$L$20,$D128)&gt;0,$P128,"")</f>
        <v/>
      </c>
      <c r="S128" s="234" t="str">
        <f>IF(COUNTIF(判定!$L$21,$D128)&gt;0,$P128,"")</f>
        <v/>
      </c>
      <c r="T128" s="341"/>
      <c r="V128" s="226"/>
      <c r="W128" s="221" t="str">
        <f>IF(OR($C128=判定!$K$2,$C128=判定!$K$3,$C128=判定!$K$4,$C128=判定!$K$5),"",IF(COUNTIF($C$15:$C128,$C128)=1,ROW(),""))</f>
        <v/>
      </c>
      <c r="X128" s="221">
        <f t="shared" si="3"/>
        <v>0</v>
      </c>
      <c r="Y128" s="221">
        <f>IF(COUNTIF($C:$C,$X128)&gt;0,1,0)+IF(OR(COUNTIFS($C:$C,$X128,$D:$D,判定!$L$2)&gt;0,COUNTIFS($C:$C,$X128,$D:$D,判定!$L$3)&gt;0,COUNTIFS($C:$C,$X128,$D:$D,判定!$L$4)&gt;0),1,0)+IF(COUNTIFS($C:$C,$X128,$D:$D,判定!$L$7)&gt;0,1,0)+IF(COUNTIFS($C:$C,$X128,$D:$D,判定!$L$8)&gt;0,1,0)+IF(COUNTIFS($C:$C,$X128,$D:$D,判定!$L$9)&gt;0,1,0)</f>
        <v>0</v>
      </c>
      <c r="Z128" s="221" t="str">
        <f>IF(Y128&gt;0,Y128*100+COUNTIF($Y$15:Y128,Y128),"")</f>
        <v/>
      </c>
      <c r="AA128" s="221" t="e">
        <f t="shared" si="4"/>
        <v>#NUM!</v>
      </c>
      <c r="AB128" s="226"/>
      <c r="AC128" s="226"/>
      <c r="AD128" s="226"/>
      <c r="AE128" s="226"/>
      <c r="AF128" s="226"/>
    </row>
    <row r="129" spans="1:32" x14ac:dyDescent="0.2">
      <c r="A129" s="221" t="str">
        <f>IF($D129="","",COUNTA($D$15:$D129))</f>
        <v/>
      </c>
      <c r="B129" s="235"/>
      <c r="C129" s="235"/>
      <c r="D129" s="235"/>
      <c r="E129" s="337"/>
      <c r="F129" s="337"/>
      <c r="G129" s="337"/>
      <c r="H129" s="338"/>
      <c r="I129" s="339" t="str">
        <f t="shared" si="0"/>
        <v/>
      </c>
      <c r="J129" s="236" t="str">
        <f ca="1">IFERROR(VLOOKUP($G129,INDIRECT("判定!"&amp;ADDRESS(ROW(判定!$N$2)+1,COLUMN(判定!$N$2)+MATCH($D129,判定!$N$2:$W$2,0)-1,4,1)&amp;":"&amp;ADDRESS(ROW(判定!$O$2)+4,COLUMN(判定!$N$2)+MATCH($D129,判定!$N$2:$W$2,0),4,1),1),2,1),"")</f>
        <v/>
      </c>
      <c r="K129" s="340"/>
      <c r="L129" s="341"/>
      <c r="M129" s="330"/>
      <c r="N129" s="330"/>
      <c r="O129" s="331"/>
      <c r="P129" s="237"/>
      <c r="Q129" s="234" t="str">
        <f>IF(COUNTIF(判定!$L$2:$L$9,$D129)&gt;0,$P129,"")</f>
        <v/>
      </c>
      <c r="R129" s="234" t="str">
        <f>IF(COUNTIF(判定!$L$10:$L$20,$D129)&gt;0,$P129,"")</f>
        <v/>
      </c>
      <c r="S129" s="234" t="str">
        <f>IF(COUNTIF(判定!$L$21,$D129)&gt;0,$P129,"")</f>
        <v/>
      </c>
      <c r="T129" s="341"/>
      <c r="V129" s="226"/>
      <c r="W129" s="221" t="str">
        <f>IF(OR($C129=判定!$K$2,$C129=判定!$K$3,$C129=判定!$K$4,$C129=判定!$K$5),"",IF(COUNTIF($C$15:$C129,$C129)=1,ROW(),""))</f>
        <v/>
      </c>
      <c r="X129" s="221">
        <f t="shared" si="3"/>
        <v>0</v>
      </c>
      <c r="Y129" s="221">
        <f>IF(COUNTIF($C:$C,$X129)&gt;0,1,0)+IF(OR(COUNTIFS($C:$C,$X129,$D:$D,判定!$L$2)&gt;0,COUNTIFS($C:$C,$X129,$D:$D,判定!$L$3)&gt;0,COUNTIFS($C:$C,$X129,$D:$D,判定!$L$4)&gt;0),1,0)+IF(COUNTIFS($C:$C,$X129,$D:$D,判定!$L$7)&gt;0,1,0)+IF(COUNTIFS($C:$C,$X129,$D:$D,判定!$L$8)&gt;0,1,0)+IF(COUNTIFS($C:$C,$X129,$D:$D,判定!$L$9)&gt;0,1,0)</f>
        <v>0</v>
      </c>
      <c r="Z129" s="221" t="str">
        <f>IF(Y129&gt;0,Y129*100+COUNTIF($Y$15:Y129,Y129),"")</f>
        <v/>
      </c>
      <c r="AA129" s="221" t="e">
        <f t="shared" si="4"/>
        <v>#NUM!</v>
      </c>
      <c r="AB129" s="226"/>
      <c r="AC129" s="226"/>
      <c r="AD129" s="226"/>
      <c r="AE129" s="226"/>
      <c r="AF129" s="226"/>
    </row>
    <row r="130" spans="1:32" x14ac:dyDescent="0.2">
      <c r="A130" s="221" t="str">
        <f>IF($D130="","",COUNTA($D$15:$D130))</f>
        <v/>
      </c>
      <c r="B130" s="235"/>
      <c r="C130" s="235"/>
      <c r="D130" s="235"/>
      <c r="E130" s="337"/>
      <c r="F130" s="337"/>
      <c r="G130" s="337"/>
      <c r="H130" s="338"/>
      <c r="I130" s="339" t="str">
        <f t="shared" si="0"/>
        <v/>
      </c>
      <c r="J130" s="236" t="str">
        <f ca="1">IFERROR(VLOOKUP($G130,INDIRECT("判定!"&amp;ADDRESS(ROW(判定!$N$2)+1,COLUMN(判定!$N$2)+MATCH($D130,判定!$N$2:$W$2,0)-1,4,1)&amp;":"&amp;ADDRESS(ROW(判定!$O$2)+4,COLUMN(判定!$N$2)+MATCH($D130,判定!$N$2:$W$2,0),4,1),1),2,1),"")</f>
        <v/>
      </c>
      <c r="K130" s="340"/>
      <c r="L130" s="341"/>
      <c r="M130" s="330"/>
      <c r="N130" s="330"/>
      <c r="O130" s="331"/>
      <c r="P130" s="237"/>
      <c r="Q130" s="234" t="str">
        <f>IF(COUNTIF(判定!$L$2:$L$9,$D130)&gt;0,$P130,"")</f>
        <v/>
      </c>
      <c r="R130" s="234" t="str">
        <f>IF(COUNTIF(判定!$L$10:$L$20,$D130)&gt;0,$P130,"")</f>
        <v/>
      </c>
      <c r="S130" s="234" t="str">
        <f>IF(COUNTIF(判定!$L$21,$D130)&gt;0,$P130,"")</f>
        <v/>
      </c>
      <c r="T130" s="341"/>
      <c r="V130" s="226"/>
      <c r="W130" s="221" t="str">
        <f>IF(OR($C130=判定!$K$2,$C130=判定!$K$3,$C130=判定!$K$4,$C130=判定!$K$5),"",IF(COUNTIF($C$15:$C130,$C130)=1,ROW(),""))</f>
        <v/>
      </c>
      <c r="X130" s="221">
        <f t="shared" si="3"/>
        <v>0</v>
      </c>
      <c r="Y130" s="221">
        <f>IF(COUNTIF($C:$C,$X130)&gt;0,1,0)+IF(OR(COUNTIFS($C:$C,$X130,$D:$D,判定!$L$2)&gt;0,COUNTIFS($C:$C,$X130,$D:$D,判定!$L$3)&gt;0,COUNTIFS($C:$C,$X130,$D:$D,判定!$L$4)&gt;0),1,0)+IF(COUNTIFS($C:$C,$X130,$D:$D,判定!$L$7)&gt;0,1,0)+IF(COUNTIFS($C:$C,$X130,$D:$D,判定!$L$8)&gt;0,1,0)+IF(COUNTIFS($C:$C,$X130,$D:$D,判定!$L$9)&gt;0,1,0)</f>
        <v>0</v>
      </c>
      <c r="Z130" s="221" t="str">
        <f>IF(Y130&gt;0,Y130*100+COUNTIF($Y$15:Y130,Y130),"")</f>
        <v/>
      </c>
      <c r="AA130" s="221" t="e">
        <f t="shared" si="4"/>
        <v>#NUM!</v>
      </c>
      <c r="AB130" s="226"/>
      <c r="AC130" s="226"/>
      <c r="AD130" s="226"/>
      <c r="AE130" s="226"/>
      <c r="AF130" s="226"/>
    </row>
    <row r="131" spans="1:32" x14ac:dyDescent="0.2">
      <c r="A131" s="221" t="str">
        <f>IF($D131="","",COUNTA($D$15:$D131))</f>
        <v/>
      </c>
      <c r="B131" s="235"/>
      <c r="C131" s="235"/>
      <c r="D131" s="235"/>
      <c r="E131" s="337"/>
      <c r="F131" s="337"/>
      <c r="G131" s="337"/>
      <c r="H131" s="338"/>
      <c r="I131" s="339" t="str">
        <f t="shared" si="0"/>
        <v/>
      </c>
      <c r="J131" s="236" t="str">
        <f ca="1">IFERROR(VLOOKUP($G131,INDIRECT("判定!"&amp;ADDRESS(ROW(判定!$N$2)+1,COLUMN(判定!$N$2)+MATCH($D131,判定!$N$2:$W$2,0)-1,4,1)&amp;":"&amp;ADDRESS(ROW(判定!$O$2)+4,COLUMN(判定!$N$2)+MATCH($D131,判定!$N$2:$W$2,0),4,1),1),2,1),"")</f>
        <v/>
      </c>
      <c r="K131" s="340"/>
      <c r="L131" s="341"/>
      <c r="M131" s="330"/>
      <c r="N131" s="330"/>
      <c r="O131" s="331"/>
      <c r="P131" s="237"/>
      <c r="Q131" s="234" t="str">
        <f>IF(COUNTIF(判定!$L$2:$L$9,$D131)&gt;0,$P131,"")</f>
        <v/>
      </c>
      <c r="R131" s="234" t="str">
        <f>IF(COUNTIF(判定!$L$10:$L$20,$D131)&gt;0,$P131,"")</f>
        <v/>
      </c>
      <c r="S131" s="234" t="str">
        <f>IF(COUNTIF(判定!$L$21,$D131)&gt;0,$P131,"")</f>
        <v/>
      </c>
      <c r="T131" s="341"/>
      <c r="V131" s="226"/>
      <c r="W131" s="221" t="str">
        <f>IF(OR($C131=判定!$K$2,$C131=判定!$K$3,$C131=判定!$K$4,$C131=判定!$K$5),"",IF(COUNTIF($C$15:$C131,$C131)=1,ROW(),""))</f>
        <v/>
      </c>
      <c r="X131" s="221">
        <f t="shared" si="3"/>
        <v>0</v>
      </c>
      <c r="Y131" s="221">
        <f>IF(COUNTIF($C:$C,$X131)&gt;0,1,0)+IF(OR(COUNTIFS($C:$C,$X131,$D:$D,判定!$L$2)&gt;0,COUNTIFS($C:$C,$X131,$D:$D,判定!$L$3)&gt;0,COUNTIFS($C:$C,$X131,$D:$D,判定!$L$4)&gt;0),1,0)+IF(COUNTIFS($C:$C,$X131,$D:$D,判定!$L$7)&gt;0,1,0)+IF(COUNTIFS($C:$C,$X131,$D:$D,判定!$L$8)&gt;0,1,0)+IF(COUNTIFS($C:$C,$X131,$D:$D,判定!$L$9)&gt;0,1,0)</f>
        <v>0</v>
      </c>
      <c r="Z131" s="221" t="str">
        <f>IF(Y131&gt;0,Y131*100+COUNTIF($Y$15:Y131,Y131),"")</f>
        <v/>
      </c>
      <c r="AA131" s="221" t="e">
        <f t="shared" si="4"/>
        <v>#NUM!</v>
      </c>
      <c r="AB131" s="226"/>
      <c r="AC131" s="226"/>
      <c r="AD131" s="226"/>
      <c r="AE131" s="226"/>
      <c r="AF131" s="226"/>
    </row>
    <row r="132" spans="1:32" x14ac:dyDescent="0.2">
      <c r="A132" s="221" t="str">
        <f>IF($D132="","",COUNTA($D$15:$D132))</f>
        <v/>
      </c>
      <c r="B132" s="235"/>
      <c r="C132" s="235"/>
      <c r="D132" s="235"/>
      <c r="E132" s="337"/>
      <c r="F132" s="337"/>
      <c r="G132" s="337"/>
      <c r="H132" s="338"/>
      <c r="I132" s="339" t="str">
        <f t="shared" si="0"/>
        <v/>
      </c>
      <c r="J132" s="236" t="str">
        <f ca="1">IFERROR(VLOOKUP($G132,INDIRECT("判定!"&amp;ADDRESS(ROW(判定!$N$2)+1,COLUMN(判定!$N$2)+MATCH($D132,判定!$N$2:$W$2,0)-1,4,1)&amp;":"&amp;ADDRESS(ROW(判定!$O$2)+4,COLUMN(判定!$N$2)+MATCH($D132,判定!$N$2:$W$2,0),4,1),1),2,1),"")</f>
        <v/>
      </c>
      <c r="K132" s="340"/>
      <c r="L132" s="341"/>
      <c r="M132" s="330"/>
      <c r="N132" s="330"/>
      <c r="O132" s="331"/>
      <c r="P132" s="237"/>
      <c r="Q132" s="234" t="str">
        <f>IF(COUNTIF(判定!$L$2:$L$9,$D132)&gt;0,$P132,"")</f>
        <v/>
      </c>
      <c r="R132" s="234" t="str">
        <f>IF(COUNTIF(判定!$L$10:$L$20,$D132)&gt;0,$P132,"")</f>
        <v/>
      </c>
      <c r="S132" s="234" t="str">
        <f>IF(COUNTIF(判定!$L$21,$D132)&gt;0,$P132,"")</f>
        <v/>
      </c>
      <c r="T132" s="341"/>
      <c r="V132" s="226"/>
      <c r="W132" s="221" t="str">
        <f>IF(OR($C132=判定!$K$2,$C132=判定!$K$3,$C132=判定!$K$4,$C132=判定!$K$5),"",IF(COUNTIF($C$15:$C132,$C132)=1,ROW(),""))</f>
        <v/>
      </c>
      <c r="X132" s="221">
        <f t="shared" si="3"/>
        <v>0</v>
      </c>
      <c r="Y132" s="221">
        <f>IF(COUNTIF($C:$C,$X132)&gt;0,1,0)+IF(OR(COUNTIFS($C:$C,$X132,$D:$D,判定!$L$2)&gt;0,COUNTIFS($C:$C,$X132,$D:$D,判定!$L$3)&gt;0,COUNTIFS($C:$C,$X132,$D:$D,判定!$L$4)&gt;0),1,0)+IF(COUNTIFS($C:$C,$X132,$D:$D,判定!$L$7)&gt;0,1,0)+IF(COUNTIFS($C:$C,$X132,$D:$D,判定!$L$8)&gt;0,1,0)+IF(COUNTIFS($C:$C,$X132,$D:$D,判定!$L$9)&gt;0,1,0)</f>
        <v>0</v>
      </c>
      <c r="Z132" s="221" t="str">
        <f>IF(Y132&gt;0,Y132*100+COUNTIF($Y$15:Y132,Y132),"")</f>
        <v/>
      </c>
      <c r="AA132" s="221" t="e">
        <f t="shared" si="4"/>
        <v>#NUM!</v>
      </c>
      <c r="AB132" s="226"/>
      <c r="AC132" s="226"/>
      <c r="AD132" s="226"/>
      <c r="AE132" s="226"/>
      <c r="AF132" s="226"/>
    </row>
    <row r="133" spans="1:32" x14ac:dyDescent="0.2">
      <c r="A133" s="221" t="str">
        <f>IF($D133="","",COUNTA($D$15:$D133))</f>
        <v/>
      </c>
      <c r="B133" s="235"/>
      <c r="C133" s="235"/>
      <c r="D133" s="235"/>
      <c r="E133" s="337"/>
      <c r="F133" s="337"/>
      <c r="G133" s="337"/>
      <c r="H133" s="338"/>
      <c r="I133" s="339" t="str">
        <f t="shared" si="0"/>
        <v/>
      </c>
      <c r="J133" s="236" t="str">
        <f ca="1">IFERROR(VLOOKUP($G133,INDIRECT("判定!"&amp;ADDRESS(ROW(判定!$N$2)+1,COLUMN(判定!$N$2)+MATCH($D133,判定!$N$2:$W$2,0)-1,4,1)&amp;":"&amp;ADDRESS(ROW(判定!$O$2)+4,COLUMN(判定!$N$2)+MATCH($D133,判定!$N$2:$W$2,0),4,1),1),2,1),"")</f>
        <v/>
      </c>
      <c r="K133" s="340"/>
      <c r="L133" s="341"/>
      <c r="M133" s="330"/>
      <c r="N133" s="330"/>
      <c r="O133" s="331"/>
      <c r="P133" s="237"/>
      <c r="Q133" s="234" t="str">
        <f>IF(COUNTIF(判定!$L$2:$L$9,$D133)&gt;0,$P133,"")</f>
        <v/>
      </c>
      <c r="R133" s="234" t="str">
        <f>IF(COUNTIF(判定!$L$10:$L$20,$D133)&gt;0,$P133,"")</f>
        <v/>
      </c>
      <c r="S133" s="234" t="str">
        <f>IF(COUNTIF(判定!$L$21,$D133)&gt;0,$P133,"")</f>
        <v/>
      </c>
      <c r="T133" s="341"/>
      <c r="V133" s="226"/>
      <c r="W133" s="221" t="str">
        <f>IF(OR($C133=判定!$K$2,$C133=判定!$K$3,$C133=判定!$K$4,$C133=判定!$K$5),"",IF(COUNTIF($C$15:$C133,$C133)=1,ROW(),""))</f>
        <v/>
      </c>
      <c r="X133" s="221">
        <f t="shared" si="3"/>
        <v>0</v>
      </c>
      <c r="Y133" s="221">
        <f>IF(COUNTIF($C:$C,$X133)&gt;0,1,0)+IF(OR(COUNTIFS($C:$C,$X133,$D:$D,判定!$L$2)&gt;0,COUNTIFS($C:$C,$X133,$D:$D,判定!$L$3)&gt;0,COUNTIFS($C:$C,$X133,$D:$D,判定!$L$4)&gt;0),1,0)+IF(COUNTIFS($C:$C,$X133,$D:$D,判定!$L$7)&gt;0,1,0)+IF(COUNTIFS($C:$C,$X133,$D:$D,判定!$L$8)&gt;0,1,0)+IF(COUNTIFS($C:$C,$X133,$D:$D,判定!$L$9)&gt;0,1,0)</f>
        <v>0</v>
      </c>
      <c r="Z133" s="221" t="str">
        <f>IF(Y133&gt;0,Y133*100+COUNTIF($Y$15:Y133,Y133),"")</f>
        <v/>
      </c>
      <c r="AA133" s="221" t="e">
        <f t="shared" si="4"/>
        <v>#NUM!</v>
      </c>
      <c r="AB133" s="226"/>
      <c r="AC133" s="226"/>
      <c r="AD133" s="226"/>
      <c r="AE133" s="226"/>
      <c r="AF133" s="226"/>
    </row>
    <row r="134" spans="1:32" x14ac:dyDescent="0.2">
      <c r="A134" s="221" t="str">
        <f>IF($D134="","",COUNTA($D$15:$D134))</f>
        <v/>
      </c>
      <c r="B134" s="235"/>
      <c r="C134" s="235"/>
      <c r="D134" s="235"/>
      <c r="E134" s="337"/>
      <c r="F134" s="337"/>
      <c r="G134" s="337"/>
      <c r="H134" s="338"/>
      <c r="I134" s="339" t="str">
        <f t="shared" si="0"/>
        <v/>
      </c>
      <c r="J134" s="236" t="str">
        <f ca="1">IFERROR(VLOOKUP($G134,INDIRECT("判定!"&amp;ADDRESS(ROW(判定!$N$2)+1,COLUMN(判定!$N$2)+MATCH($D134,判定!$N$2:$W$2,0)-1,4,1)&amp;":"&amp;ADDRESS(ROW(判定!$O$2)+4,COLUMN(判定!$N$2)+MATCH($D134,判定!$N$2:$W$2,0),4,1),1),2,1),"")</f>
        <v/>
      </c>
      <c r="K134" s="340"/>
      <c r="L134" s="341"/>
      <c r="M134" s="330"/>
      <c r="N134" s="330"/>
      <c r="O134" s="331"/>
      <c r="P134" s="237"/>
      <c r="Q134" s="234" t="str">
        <f>IF(COUNTIF(判定!$L$2:$L$9,$D134)&gt;0,$P134,"")</f>
        <v/>
      </c>
      <c r="R134" s="234" t="str">
        <f>IF(COUNTIF(判定!$L$10:$L$20,$D134)&gt;0,$P134,"")</f>
        <v/>
      </c>
      <c r="S134" s="234" t="str">
        <f>IF(COUNTIF(判定!$L$21,$D134)&gt;0,$P134,"")</f>
        <v/>
      </c>
      <c r="T134" s="341"/>
      <c r="V134" s="226"/>
      <c r="W134" s="221" t="str">
        <f>IF(OR($C134=判定!$K$2,$C134=判定!$K$3,$C134=判定!$K$4,$C134=判定!$K$5),"",IF(COUNTIF($C$15:$C134,$C134)=1,ROW(),""))</f>
        <v/>
      </c>
      <c r="X134" s="221">
        <f t="shared" si="3"/>
        <v>0</v>
      </c>
      <c r="Y134" s="221">
        <f>IF(COUNTIF($C:$C,$X134)&gt;0,1,0)+IF(OR(COUNTIFS($C:$C,$X134,$D:$D,判定!$L$2)&gt;0,COUNTIFS($C:$C,$X134,$D:$D,判定!$L$3)&gt;0,COUNTIFS($C:$C,$X134,$D:$D,判定!$L$4)&gt;0),1,0)+IF(COUNTIFS($C:$C,$X134,$D:$D,判定!$L$7)&gt;0,1,0)+IF(COUNTIFS($C:$C,$X134,$D:$D,判定!$L$8)&gt;0,1,0)+IF(COUNTIFS($C:$C,$X134,$D:$D,判定!$L$9)&gt;0,1,0)</f>
        <v>0</v>
      </c>
      <c r="Z134" s="221" t="str">
        <f>IF(Y134&gt;0,Y134*100+COUNTIF($Y$15:Y134,Y134),"")</f>
        <v/>
      </c>
      <c r="AA134" s="221" t="e">
        <f t="shared" si="4"/>
        <v>#NUM!</v>
      </c>
      <c r="AB134" s="226"/>
      <c r="AC134" s="226"/>
      <c r="AD134" s="226"/>
      <c r="AE134" s="226"/>
      <c r="AF134" s="226"/>
    </row>
    <row r="135" spans="1:32" x14ac:dyDescent="0.2">
      <c r="A135" s="221" t="str">
        <f>IF($D135="","",COUNTA($D$15:$D135))</f>
        <v/>
      </c>
      <c r="B135" s="235"/>
      <c r="C135" s="235"/>
      <c r="D135" s="235"/>
      <c r="E135" s="337"/>
      <c r="F135" s="337"/>
      <c r="G135" s="337"/>
      <c r="H135" s="338"/>
      <c r="I135" s="339" t="str">
        <f t="shared" si="0"/>
        <v/>
      </c>
      <c r="J135" s="236" t="str">
        <f ca="1">IFERROR(VLOOKUP($G135,INDIRECT("判定!"&amp;ADDRESS(ROW(判定!$N$2)+1,COLUMN(判定!$N$2)+MATCH($D135,判定!$N$2:$W$2,0)-1,4,1)&amp;":"&amp;ADDRESS(ROW(判定!$O$2)+4,COLUMN(判定!$N$2)+MATCH($D135,判定!$N$2:$W$2,0),4,1),1),2,1),"")</f>
        <v/>
      </c>
      <c r="K135" s="340"/>
      <c r="L135" s="341"/>
      <c r="M135" s="330"/>
      <c r="N135" s="330"/>
      <c r="O135" s="331"/>
      <c r="P135" s="237"/>
      <c r="Q135" s="234" t="str">
        <f>IF(COUNTIF(判定!$L$2:$L$9,$D135)&gt;0,$P135,"")</f>
        <v/>
      </c>
      <c r="R135" s="234" t="str">
        <f>IF(COUNTIF(判定!$L$10:$L$20,$D135)&gt;0,$P135,"")</f>
        <v/>
      </c>
      <c r="S135" s="234" t="str">
        <f>IF(COUNTIF(判定!$L$21,$D135)&gt;0,$P135,"")</f>
        <v/>
      </c>
      <c r="T135" s="341"/>
      <c r="V135" s="226"/>
      <c r="W135" s="221" t="str">
        <f>IF(OR($C135=判定!$K$2,$C135=判定!$K$3,$C135=判定!$K$4,$C135=判定!$K$5),"",IF(COUNTIF($C$15:$C135,$C135)=1,ROW(),""))</f>
        <v/>
      </c>
      <c r="X135" s="221">
        <f t="shared" si="3"/>
        <v>0</v>
      </c>
      <c r="Y135" s="221">
        <f>IF(COUNTIF($C:$C,$X135)&gt;0,1,0)+IF(OR(COUNTIFS($C:$C,$X135,$D:$D,判定!$L$2)&gt;0,COUNTIFS($C:$C,$X135,$D:$D,判定!$L$3)&gt;0,COUNTIFS($C:$C,$X135,$D:$D,判定!$L$4)&gt;0),1,0)+IF(COUNTIFS($C:$C,$X135,$D:$D,判定!$L$7)&gt;0,1,0)+IF(COUNTIFS($C:$C,$X135,$D:$D,判定!$L$8)&gt;0,1,0)+IF(COUNTIFS($C:$C,$X135,$D:$D,判定!$L$9)&gt;0,1,0)</f>
        <v>0</v>
      </c>
      <c r="Z135" s="221" t="str">
        <f>IF(Y135&gt;0,Y135*100+COUNTIF($Y$15:Y135,Y135),"")</f>
        <v/>
      </c>
      <c r="AA135" s="221" t="e">
        <f t="shared" si="4"/>
        <v>#NUM!</v>
      </c>
      <c r="AB135" s="226"/>
      <c r="AC135" s="226"/>
      <c r="AD135" s="226"/>
      <c r="AE135" s="226"/>
      <c r="AF135" s="226"/>
    </row>
    <row r="136" spans="1:32" x14ac:dyDescent="0.2">
      <c r="A136" s="221" t="str">
        <f>IF($D136="","",COUNTA($D$15:$D136))</f>
        <v/>
      </c>
      <c r="B136" s="235"/>
      <c r="C136" s="235"/>
      <c r="D136" s="235"/>
      <c r="E136" s="337"/>
      <c r="F136" s="337"/>
      <c r="G136" s="337"/>
      <c r="H136" s="338"/>
      <c r="I136" s="339" t="str">
        <f t="shared" si="0"/>
        <v/>
      </c>
      <c r="J136" s="236" t="str">
        <f ca="1">IFERROR(VLOOKUP($G136,INDIRECT("判定!"&amp;ADDRESS(ROW(判定!$N$2)+1,COLUMN(判定!$N$2)+MATCH($D136,判定!$N$2:$W$2,0)-1,4,1)&amp;":"&amp;ADDRESS(ROW(判定!$O$2)+4,COLUMN(判定!$N$2)+MATCH($D136,判定!$N$2:$W$2,0),4,1),1),2,1),"")</f>
        <v/>
      </c>
      <c r="K136" s="340"/>
      <c r="L136" s="341"/>
      <c r="M136" s="330"/>
      <c r="N136" s="330"/>
      <c r="O136" s="331"/>
      <c r="P136" s="237"/>
      <c r="Q136" s="234" t="str">
        <f>IF(COUNTIF(判定!$L$2:$L$9,$D136)&gt;0,$P136,"")</f>
        <v/>
      </c>
      <c r="R136" s="234" t="str">
        <f>IF(COUNTIF(判定!$L$10:$L$20,$D136)&gt;0,$P136,"")</f>
        <v/>
      </c>
      <c r="S136" s="234" t="str">
        <f>IF(COUNTIF(判定!$L$21,$D136)&gt;0,$P136,"")</f>
        <v/>
      </c>
      <c r="T136" s="341"/>
      <c r="V136" s="226"/>
      <c r="W136" s="221" t="str">
        <f>IF(OR($C136=判定!$K$2,$C136=判定!$K$3,$C136=判定!$K$4,$C136=判定!$K$5),"",IF(COUNTIF($C$15:$C136,$C136)=1,ROW(),""))</f>
        <v/>
      </c>
      <c r="X136" s="221">
        <f t="shared" si="3"/>
        <v>0</v>
      </c>
      <c r="Y136" s="221">
        <f>IF(COUNTIF($C:$C,$X136)&gt;0,1,0)+IF(OR(COUNTIFS($C:$C,$X136,$D:$D,判定!$L$2)&gt;0,COUNTIFS($C:$C,$X136,$D:$D,判定!$L$3)&gt;0,COUNTIFS($C:$C,$X136,$D:$D,判定!$L$4)&gt;0),1,0)+IF(COUNTIFS($C:$C,$X136,$D:$D,判定!$L$7)&gt;0,1,0)+IF(COUNTIFS($C:$C,$X136,$D:$D,判定!$L$8)&gt;0,1,0)+IF(COUNTIFS($C:$C,$X136,$D:$D,判定!$L$9)&gt;0,1,0)</f>
        <v>0</v>
      </c>
      <c r="Z136" s="221" t="str">
        <f>IF(Y136&gt;0,Y136*100+COUNTIF($Y$15:Y136,Y136),"")</f>
        <v/>
      </c>
      <c r="AA136" s="221" t="e">
        <f t="shared" si="4"/>
        <v>#NUM!</v>
      </c>
      <c r="AB136" s="226"/>
      <c r="AC136" s="226"/>
      <c r="AD136" s="226"/>
      <c r="AE136" s="226"/>
      <c r="AF136" s="226"/>
    </row>
    <row r="137" spans="1:32" x14ac:dyDescent="0.2">
      <c r="A137" s="221" t="str">
        <f>IF($D137="","",COUNTA($D$15:$D137))</f>
        <v/>
      </c>
      <c r="B137" s="235"/>
      <c r="C137" s="235"/>
      <c r="D137" s="235"/>
      <c r="E137" s="337"/>
      <c r="F137" s="337"/>
      <c r="G137" s="337"/>
      <c r="H137" s="338"/>
      <c r="I137" s="339" t="str">
        <f t="shared" si="0"/>
        <v/>
      </c>
      <c r="J137" s="236" t="str">
        <f ca="1">IFERROR(VLOOKUP($G137,INDIRECT("判定!"&amp;ADDRESS(ROW(判定!$N$2)+1,COLUMN(判定!$N$2)+MATCH($D137,判定!$N$2:$W$2,0)-1,4,1)&amp;":"&amp;ADDRESS(ROW(判定!$O$2)+4,COLUMN(判定!$N$2)+MATCH($D137,判定!$N$2:$W$2,0),4,1),1),2,1),"")</f>
        <v/>
      </c>
      <c r="K137" s="340"/>
      <c r="L137" s="341"/>
      <c r="M137" s="330"/>
      <c r="N137" s="330"/>
      <c r="O137" s="331"/>
      <c r="P137" s="237"/>
      <c r="Q137" s="234" t="str">
        <f>IF(COUNTIF(判定!$L$2:$L$9,$D137)&gt;0,$P137,"")</f>
        <v/>
      </c>
      <c r="R137" s="234" t="str">
        <f>IF(COUNTIF(判定!$L$10:$L$20,$D137)&gt;0,$P137,"")</f>
        <v/>
      </c>
      <c r="S137" s="234" t="str">
        <f>IF(COUNTIF(判定!$L$21,$D137)&gt;0,$P137,"")</f>
        <v/>
      </c>
      <c r="T137" s="341"/>
      <c r="V137" s="226"/>
      <c r="W137" s="221" t="str">
        <f>IF(OR($C137=判定!$K$2,$C137=判定!$K$3,$C137=判定!$K$4,$C137=判定!$K$5),"",IF(COUNTIF($C$15:$C137,$C137)=1,ROW(),""))</f>
        <v/>
      </c>
      <c r="X137" s="221">
        <f t="shared" si="3"/>
        <v>0</v>
      </c>
      <c r="Y137" s="221">
        <f>IF(COUNTIF($C:$C,$X137)&gt;0,1,0)+IF(OR(COUNTIFS($C:$C,$X137,$D:$D,判定!$L$2)&gt;0,COUNTIFS($C:$C,$X137,$D:$D,判定!$L$3)&gt;0,COUNTIFS($C:$C,$X137,$D:$D,判定!$L$4)&gt;0),1,0)+IF(COUNTIFS($C:$C,$X137,$D:$D,判定!$L$7)&gt;0,1,0)+IF(COUNTIFS($C:$C,$X137,$D:$D,判定!$L$8)&gt;0,1,0)+IF(COUNTIFS($C:$C,$X137,$D:$D,判定!$L$9)&gt;0,1,0)</f>
        <v>0</v>
      </c>
      <c r="Z137" s="221" t="str">
        <f>IF(Y137&gt;0,Y137*100+COUNTIF($Y$15:Y137,Y137),"")</f>
        <v/>
      </c>
      <c r="AA137" s="221" t="e">
        <f t="shared" si="4"/>
        <v>#NUM!</v>
      </c>
      <c r="AB137" s="226"/>
      <c r="AC137" s="226"/>
      <c r="AD137" s="226"/>
      <c r="AE137" s="226"/>
      <c r="AF137" s="226"/>
    </row>
    <row r="138" spans="1:32" x14ac:dyDescent="0.2">
      <c r="A138" s="221" t="str">
        <f>IF($D138="","",COUNTA($D$15:$D138))</f>
        <v/>
      </c>
      <c r="B138" s="235"/>
      <c r="C138" s="235"/>
      <c r="D138" s="235"/>
      <c r="E138" s="337"/>
      <c r="F138" s="337"/>
      <c r="G138" s="337"/>
      <c r="H138" s="338"/>
      <c r="I138" s="339" t="str">
        <f t="shared" si="0"/>
        <v/>
      </c>
      <c r="J138" s="236" t="str">
        <f ca="1">IFERROR(VLOOKUP($G138,INDIRECT("判定!"&amp;ADDRESS(ROW(判定!$N$2)+1,COLUMN(判定!$N$2)+MATCH($D138,判定!$N$2:$W$2,0)-1,4,1)&amp;":"&amp;ADDRESS(ROW(判定!$O$2)+4,COLUMN(判定!$N$2)+MATCH($D138,判定!$N$2:$W$2,0),4,1),1),2,1),"")</f>
        <v/>
      </c>
      <c r="K138" s="340"/>
      <c r="L138" s="341"/>
      <c r="M138" s="330"/>
      <c r="N138" s="330"/>
      <c r="O138" s="331"/>
      <c r="P138" s="237"/>
      <c r="Q138" s="234" t="str">
        <f>IF(COUNTIF(判定!$L$2:$L$9,$D138)&gt;0,$P138,"")</f>
        <v/>
      </c>
      <c r="R138" s="234" t="str">
        <f>IF(COUNTIF(判定!$L$10:$L$20,$D138)&gt;0,$P138,"")</f>
        <v/>
      </c>
      <c r="S138" s="234" t="str">
        <f>IF(COUNTIF(判定!$L$21,$D138)&gt;0,$P138,"")</f>
        <v/>
      </c>
      <c r="T138" s="341"/>
      <c r="V138" s="226"/>
      <c r="W138" s="221" t="str">
        <f>IF(OR($C138=判定!$K$2,$C138=判定!$K$3,$C138=判定!$K$4,$C138=判定!$K$5),"",IF(COUNTIF($C$15:$C138,$C138)=1,ROW(),""))</f>
        <v/>
      </c>
      <c r="X138" s="221">
        <f t="shared" si="3"/>
        <v>0</v>
      </c>
      <c r="Y138" s="221">
        <f>IF(COUNTIF($C:$C,$X138)&gt;0,1,0)+IF(OR(COUNTIFS($C:$C,$X138,$D:$D,判定!$L$2)&gt;0,COUNTIFS($C:$C,$X138,$D:$D,判定!$L$3)&gt;0,COUNTIFS($C:$C,$X138,$D:$D,判定!$L$4)&gt;0),1,0)+IF(COUNTIFS($C:$C,$X138,$D:$D,判定!$L$7)&gt;0,1,0)+IF(COUNTIFS($C:$C,$X138,$D:$D,判定!$L$8)&gt;0,1,0)+IF(COUNTIFS($C:$C,$X138,$D:$D,判定!$L$9)&gt;0,1,0)</f>
        <v>0</v>
      </c>
      <c r="Z138" s="221" t="str">
        <f>IF(Y138&gt;0,Y138*100+COUNTIF($Y$15:Y138,Y138),"")</f>
        <v/>
      </c>
      <c r="AA138" s="221" t="e">
        <f t="shared" si="4"/>
        <v>#NUM!</v>
      </c>
      <c r="AB138" s="226"/>
      <c r="AC138" s="226"/>
      <c r="AD138" s="226"/>
      <c r="AE138" s="226"/>
      <c r="AF138" s="226"/>
    </row>
    <row r="139" spans="1:32" x14ac:dyDescent="0.2">
      <c r="A139" s="221" t="str">
        <f>IF($D139="","",COUNTA($D$15:$D139))</f>
        <v/>
      </c>
      <c r="B139" s="235"/>
      <c r="C139" s="235"/>
      <c r="D139" s="235"/>
      <c r="E139" s="337"/>
      <c r="F139" s="337"/>
      <c r="G139" s="337"/>
      <c r="H139" s="338"/>
      <c r="I139" s="339" t="str">
        <f t="shared" si="0"/>
        <v/>
      </c>
      <c r="J139" s="236" t="str">
        <f ca="1">IFERROR(VLOOKUP($G139,INDIRECT("判定!"&amp;ADDRESS(ROW(判定!$N$2)+1,COLUMN(判定!$N$2)+MATCH($D139,判定!$N$2:$W$2,0)-1,4,1)&amp;":"&amp;ADDRESS(ROW(判定!$O$2)+4,COLUMN(判定!$N$2)+MATCH($D139,判定!$N$2:$W$2,0),4,1),1),2,1),"")</f>
        <v/>
      </c>
      <c r="K139" s="340"/>
      <c r="L139" s="341"/>
      <c r="M139" s="330"/>
      <c r="N139" s="330"/>
      <c r="O139" s="331"/>
      <c r="P139" s="237"/>
      <c r="Q139" s="234" t="str">
        <f>IF(COUNTIF(判定!$L$2:$L$9,$D139)&gt;0,$P139,"")</f>
        <v/>
      </c>
      <c r="R139" s="234" t="str">
        <f>IF(COUNTIF(判定!$L$10:$L$20,$D139)&gt;0,$P139,"")</f>
        <v/>
      </c>
      <c r="S139" s="234" t="str">
        <f>IF(COUNTIF(判定!$L$21,$D139)&gt;0,$P139,"")</f>
        <v/>
      </c>
      <c r="T139" s="341"/>
      <c r="V139" s="226"/>
      <c r="W139" s="221" t="str">
        <f>IF(OR($C139=判定!$K$2,$C139=判定!$K$3,$C139=判定!$K$4,$C139=判定!$K$5),"",IF(COUNTIF($C$15:$C139,$C139)=1,ROW(),""))</f>
        <v/>
      </c>
      <c r="X139" s="221">
        <f t="shared" si="3"/>
        <v>0</v>
      </c>
      <c r="Y139" s="221">
        <f>IF(COUNTIF($C:$C,$X139)&gt;0,1,0)+IF(OR(COUNTIFS($C:$C,$X139,$D:$D,判定!$L$2)&gt;0,COUNTIFS($C:$C,$X139,$D:$D,判定!$L$3)&gt;0,COUNTIFS($C:$C,$X139,$D:$D,判定!$L$4)&gt;0),1,0)+IF(COUNTIFS($C:$C,$X139,$D:$D,判定!$L$7)&gt;0,1,0)+IF(COUNTIFS($C:$C,$X139,$D:$D,判定!$L$8)&gt;0,1,0)+IF(COUNTIFS($C:$C,$X139,$D:$D,判定!$L$9)&gt;0,1,0)</f>
        <v>0</v>
      </c>
      <c r="Z139" s="221" t="str">
        <f>IF(Y139&gt;0,Y139*100+COUNTIF($Y$15:Y139,Y139),"")</f>
        <v/>
      </c>
      <c r="AA139" s="221" t="e">
        <f t="shared" si="4"/>
        <v>#NUM!</v>
      </c>
      <c r="AB139" s="226"/>
      <c r="AC139" s="226"/>
      <c r="AD139" s="226"/>
      <c r="AE139" s="226"/>
      <c r="AF139" s="226"/>
    </row>
    <row r="140" spans="1:32" x14ac:dyDescent="0.2">
      <c r="A140" s="221" t="str">
        <f>IF($D140="","",COUNTA($D$15:$D140))</f>
        <v/>
      </c>
      <c r="B140" s="235"/>
      <c r="C140" s="235"/>
      <c r="D140" s="235"/>
      <c r="E140" s="337"/>
      <c r="F140" s="337"/>
      <c r="G140" s="337"/>
      <c r="H140" s="338"/>
      <c r="I140" s="339" t="str">
        <f t="shared" si="0"/>
        <v/>
      </c>
      <c r="J140" s="236" t="str">
        <f ca="1">IFERROR(VLOOKUP($G140,INDIRECT("判定!"&amp;ADDRESS(ROW(判定!$N$2)+1,COLUMN(判定!$N$2)+MATCH($D140,判定!$N$2:$W$2,0)-1,4,1)&amp;":"&amp;ADDRESS(ROW(判定!$O$2)+4,COLUMN(判定!$N$2)+MATCH($D140,判定!$N$2:$W$2,0),4,1),1),2,1),"")</f>
        <v/>
      </c>
      <c r="K140" s="340"/>
      <c r="L140" s="341"/>
      <c r="M140" s="330"/>
      <c r="N140" s="330"/>
      <c r="O140" s="331"/>
      <c r="P140" s="237"/>
      <c r="Q140" s="234" t="str">
        <f>IF(COUNTIF(判定!$L$2:$L$9,$D140)&gt;0,$P140,"")</f>
        <v/>
      </c>
      <c r="R140" s="234" t="str">
        <f>IF(COUNTIF(判定!$L$10:$L$20,$D140)&gt;0,$P140,"")</f>
        <v/>
      </c>
      <c r="S140" s="234" t="str">
        <f>IF(COUNTIF(判定!$L$21,$D140)&gt;0,$P140,"")</f>
        <v/>
      </c>
      <c r="T140" s="341"/>
      <c r="V140" s="226"/>
      <c r="W140" s="221" t="str">
        <f>IF(OR($C140=判定!$K$2,$C140=判定!$K$3,$C140=判定!$K$4,$C140=判定!$K$5),"",IF(COUNTIF($C$15:$C140,$C140)=1,ROW(),""))</f>
        <v/>
      </c>
      <c r="X140" s="221">
        <f t="shared" si="3"/>
        <v>0</v>
      </c>
      <c r="Y140" s="221">
        <f>IF(COUNTIF($C:$C,$X140)&gt;0,1,0)+IF(OR(COUNTIFS($C:$C,$X140,$D:$D,判定!$L$2)&gt;0,COUNTIFS($C:$C,$X140,$D:$D,判定!$L$3)&gt;0,COUNTIFS($C:$C,$X140,$D:$D,判定!$L$4)&gt;0),1,0)+IF(COUNTIFS($C:$C,$X140,$D:$D,判定!$L$7)&gt;0,1,0)+IF(COUNTIFS($C:$C,$X140,$D:$D,判定!$L$8)&gt;0,1,0)+IF(COUNTIFS($C:$C,$X140,$D:$D,判定!$L$9)&gt;0,1,0)</f>
        <v>0</v>
      </c>
      <c r="Z140" s="221" t="str">
        <f>IF(Y140&gt;0,Y140*100+COUNTIF($Y$15:Y140,Y140),"")</f>
        <v/>
      </c>
      <c r="AA140" s="221" t="e">
        <f t="shared" si="4"/>
        <v>#NUM!</v>
      </c>
      <c r="AB140" s="226"/>
      <c r="AC140" s="226"/>
      <c r="AD140" s="226"/>
      <c r="AE140" s="226"/>
      <c r="AF140" s="226"/>
    </row>
    <row r="141" spans="1:32" x14ac:dyDescent="0.2">
      <c r="A141" s="221" t="str">
        <f>IF($D141="","",COUNTA($D$15:$D141))</f>
        <v/>
      </c>
      <c r="B141" s="235"/>
      <c r="C141" s="235"/>
      <c r="D141" s="235"/>
      <c r="E141" s="337"/>
      <c r="F141" s="337"/>
      <c r="G141" s="337"/>
      <c r="H141" s="338"/>
      <c r="I141" s="339" t="str">
        <f t="shared" si="0"/>
        <v/>
      </c>
      <c r="J141" s="236" t="str">
        <f ca="1">IFERROR(VLOOKUP($G141,INDIRECT("判定!"&amp;ADDRESS(ROW(判定!$N$2)+1,COLUMN(判定!$N$2)+MATCH($D141,判定!$N$2:$W$2,0)-1,4,1)&amp;":"&amp;ADDRESS(ROW(判定!$O$2)+4,COLUMN(判定!$N$2)+MATCH($D141,判定!$N$2:$W$2,0),4,1),1),2,1),"")</f>
        <v/>
      </c>
      <c r="K141" s="340"/>
      <c r="L141" s="341"/>
      <c r="M141" s="330"/>
      <c r="N141" s="330"/>
      <c r="O141" s="331"/>
      <c r="P141" s="237"/>
      <c r="Q141" s="234" t="str">
        <f>IF(COUNTIF(判定!$L$2:$L$9,$D141)&gt;0,$P141,"")</f>
        <v/>
      </c>
      <c r="R141" s="234" t="str">
        <f>IF(COUNTIF(判定!$L$10:$L$20,$D141)&gt;0,$P141,"")</f>
        <v/>
      </c>
      <c r="S141" s="234" t="str">
        <f>IF(COUNTIF(判定!$L$21,$D141)&gt;0,$P141,"")</f>
        <v/>
      </c>
      <c r="T141" s="341"/>
      <c r="V141" s="226"/>
      <c r="W141" s="221" t="str">
        <f>IF(OR($C141=判定!$K$2,$C141=判定!$K$3,$C141=判定!$K$4,$C141=判定!$K$5),"",IF(COUNTIF($C$15:$C141,$C141)=1,ROW(),""))</f>
        <v/>
      </c>
      <c r="X141" s="221">
        <f t="shared" si="3"/>
        <v>0</v>
      </c>
      <c r="Y141" s="221">
        <f>IF(COUNTIF($C:$C,$X141)&gt;0,1,0)+IF(OR(COUNTIFS($C:$C,$X141,$D:$D,判定!$L$2)&gt;0,COUNTIFS($C:$C,$X141,$D:$D,判定!$L$3)&gt;0,COUNTIFS($C:$C,$X141,$D:$D,判定!$L$4)&gt;0),1,0)+IF(COUNTIFS($C:$C,$X141,$D:$D,判定!$L$7)&gt;0,1,0)+IF(COUNTIFS($C:$C,$X141,$D:$D,判定!$L$8)&gt;0,1,0)+IF(COUNTIFS($C:$C,$X141,$D:$D,判定!$L$9)&gt;0,1,0)</f>
        <v>0</v>
      </c>
      <c r="Z141" s="221" t="str">
        <f>IF(Y141&gt;0,Y141*100+COUNTIF($Y$15:Y141,Y141),"")</f>
        <v/>
      </c>
      <c r="AA141" s="221" t="e">
        <f t="shared" si="4"/>
        <v>#NUM!</v>
      </c>
      <c r="AB141" s="226"/>
      <c r="AC141" s="226"/>
      <c r="AD141" s="226"/>
      <c r="AE141" s="226"/>
      <c r="AF141" s="226"/>
    </row>
    <row r="142" spans="1:32" x14ac:dyDescent="0.2">
      <c r="A142" s="221" t="str">
        <f>IF($D142="","",COUNTA($D$15:$D142))</f>
        <v/>
      </c>
      <c r="B142" s="235"/>
      <c r="C142" s="235"/>
      <c r="D142" s="235"/>
      <c r="E142" s="337"/>
      <c r="F142" s="337"/>
      <c r="G142" s="337"/>
      <c r="H142" s="338"/>
      <c r="I142" s="339" t="str">
        <f t="shared" si="0"/>
        <v/>
      </c>
      <c r="J142" s="236" t="str">
        <f ca="1">IFERROR(VLOOKUP($G142,INDIRECT("判定!"&amp;ADDRESS(ROW(判定!$N$2)+1,COLUMN(判定!$N$2)+MATCH($D142,判定!$N$2:$W$2,0)-1,4,1)&amp;":"&amp;ADDRESS(ROW(判定!$O$2)+4,COLUMN(判定!$N$2)+MATCH($D142,判定!$N$2:$W$2,0),4,1),1),2,1),"")</f>
        <v/>
      </c>
      <c r="K142" s="340"/>
      <c r="L142" s="341"/>
      <c r="M142" s="330"/>
      <c r="N142" s="330"/>
      <c r="O142" s="331"/>
      <c r="P142" s="237"/>
      <c r="Q142" s="234" t="str">
        <f>IF(COUNTIF(判定!$L$2:$L$9,$D142)&gt;0,$P142,"")</f>
        <v/>
      </c>
      <c r="R142" s="234" t="str">
        <f>IF(COUNTIF(判定!$L$10:$L$20,$D142)&gt;0,$P142,"")</f>
        <v/>
      </c>
      <c r="S142" s="234" t="str">
        <f>IF(COUNTIF(判定!$L$21,$D142)&gt;0,$P142,"")</f>
        <v/>
      </c>
      <c r="T142" s="341"/>
      <c r="V142" s="226"/>
      <c r="W142" s="221" t="str">
        <f>IF(OR($C142=判定!$K$2,$C142=判定!$K$3,$C142=判定!$K$4,$C142=判定!$K$5),"",IF(COUNTIF($C$15:$C142,$C142)=1,ROW(),""))</f>
        <v/>
      </c>
      <c r="X142" s="221">
        <f t="shared" si="3"/>
        <v>0</v>
      </c>
      <c r="Y142" s="221">
        <f>IF(COUNTIF($C:$C,$X142)&gt;0,1,0)+IF(OR(COUNTIFS($C:$C,$X142,$D:$D,判定!$L$2)&gt;0,COUNTIFS($C:$C,$X142,$D:$D,判定!$L$3)&gt;0,COUNTIFS($C:$C,$X142,$D:$D,判定!$L$4)&gt;0),1,0)+IF(COUNTIFS($C:$C,$X142,$D:$D,判定!$L$7)&gt;0,1,0)+IF(COUNTIFS($C:$C,$X142,$D:$D,判定!$L$8)&gt;0,1,0)+IF(COUNTIFS($C:$C,$X142,$D:$D,判定!$L$9)&gt;0,1,0)</f>
        <v>0</v>
      </c>
      <c r="Z142" s="221" t="str">
        <f>IF(Y142&gt;0,Y142*100+COUNTIF($Y$15:Y142,Y142),"")</f>
        <v/>
      </c>
      <c r="AA142" s="221" t="e">
        <f t="shared" si="4"/>
        <v>#NUM!</v>
      </c>
      <c r="AB142" s="226"/>
      <c r="AC142" s="226"/>
      <c r="AD142" s="226"/>
      <c r="AE142" s="226"/>
      <c r="AF142" s="226"/>
    </row>
    <row r="143" spans="1:32" x14ac:dyDescent="0.2">
      <c r="A143" s="221" t="str">
        <f>IF($D143="","",COUNTA($D$15:$D143))</f>
        <v/>
      </c>
      <c r="B143" s="235"/>
      <c r="C143" s="235"/>
      <c r="D143" s="235"/>
      <c r="E143" s="337"/>
      <c r="F143" s="337"/>
      <c r="G143" s="337"/>
      <c r="H143" s="338"/>
      <c r="I143" s="339" t="str">
        <f t="shared" si="0"/>
        <v/>
      </c>
      <c r="J143" s="236" t="str">
        <f ca="1">IFERROR(VLOOKUP($G143,INDIRECT("判定!"&amp;ADDRESS(ROW(判定!$N$2)+1,COLUMN(判定!$N$2)+MATCH($D143,判定!$N$2:$W$2,0)-1,4,1)&amp;":"&amp;ADDRESS(ROW(判定!$O$2)+4,COLUMN(判定!$N$2)+MATCH($D143,判定!$N$2:$W$2,0),4,1),1),2,1),"")</f>
        <v/>
      </c>
      <c r="K143" s="340"/>
      <c r="L143" s="341"/>
      <c r="M143" s="330"/>
      <c r="N143" s="330"/>
      <c r="O143" s="331"/>
      <c r="P143" s="237"/>
      <c r="Q143" s="234" t="str">
        <f>IF(COUNTIF(判定!$L$2:$L$9,$D143)&gt;0,$P143,"")</f>
        <v/>
      </c>
      <c r="R143" s="234" t="str">
        <f>IF(COUNTIF(判定!$L$10:$L$20,$D143)&gt;0,$P143,"")</f>
        <v/>
      </c>
      <c r="S143" s="234" t="str">
        <f>IF(COUNTIF(判定!$L$21,$D143)&gt;0,$P143,"")</f>
        <v/>
      </c>
      <c r="T143" s="341"/>
      <c r="V143" s="226"/>
      <c r="W143" s="221" t="str">
        <f>IF(OR($C143=判定!$K$2,$C143=判定!$K$3,$C143=判定!$K$4,$C143=判定!$K$5),"",IF(COUNTIF($C$15:$C143,$C143)=1,ROW(),""))</f>
        <v/>
      </c>
      <c r="X143" s="221">
        <f t="shared" si="3"/>
        <v>0</v>
      </c>
      <c r="Y143" s="221">
        <f>IF(COUNTIF($C:$C,$X143)&gt;0,1,0)+IF(OR(COUNTIFS($C:$C,$X143,$D:$D,判定!$L$2)&gt;0,COUNTIFS($C:$C,$X143,$D:$D,判定!$L$3)&gt;0,COUNTIFS($C:$C,$X143,$D:$D,判定!$L$4)&gt;0),1,0)+IF(COUNTIFS($C:$C,$X143,$D:$D,判定!$L$7)&gt;0,1,0)+IF(COUNTIFS($C:$C,$X143,$D:$D,判定!$L$8)&gt;0,1,0)+IF(COUNTIFS($C:$C,$X143,$D:$D,判定!$L$9)&gt;0,1,0)</f>
        <v>0</v>
      </c>
      <c r="Z143" s="221" t="str">
        <f>IF(Y143&gt;0,Y143*100+COUNTIF($Y$15:Y143,Y143),"")</f>
        <v/>
      </c>
      <c r="AA143" s="221" t="e">
        <f t="shared" si="4"/>
        <v>#NUM!</v>
      </c>
      <c r="AB143" s="226"/>
      <c r="AC143" s="226"/>
      <c r="AD143" s="226"/>
      <c r="AE143" s="226"/>
      <c r="AF143" s="226"/>
    </row>
    <row r="144" spans="1:32" x14ac:dyDescent="0.2">
      <c r="A144" s="221" t="str">
        <f>IF($D144="","",COUNTA($D$15:$D144))</f>
        <v/>
      </c>
      <c r="B144" s="235"/>
      <c r="C144" s="235"/>
      <c r="D144" s="235"/>
      <c r="E144" s="337"/>
      <c r="F144" s="337"/>
      <c r="G144" s="337"/>
      <c r="H144" s="338"/>
      <c r="I144" s="339" t="str">
        <f t="shared" si="0"/>
        <v/>
      </c>
      <c r="J144" s="236" t="str">
        <f ca="1">IFERROR(VLOOKUP($G144,INDIRECT("判定!"&amp;ADDRESS(ROW(判定!$N$2)+1,COLUMN(判定!$N$2)+MATCH($D144,判定!$N$2:$W$2,0)-1,4,1)&amp;":"&amp;ADDRESS(ROW(判定!$O$2)+4,COLUMN(判定!$N$2)+MATCH($D144,判定!$N$2:$W$2,0),4,1),1),2,1),"")</f>
        <v/>
      </c>
      <c r="K144" s="340"/>
      <c r="L144" s="341"/>
      <c r="M144" s="330"/>
      <c r="N144" s="330"/>
      <c r="O144" s="331"/>
      <c r="P144" s="237"/>
      <c r="Q144" s="234" t="str">
        <f>IF(COUNTIF(判定!$L$2:$L$9,$D144)&gt;0,$P144,"")</f>
        <v/>
      </c>
      <c r="R144" s="234" t="str">
        <f>IF(COUNTIF(判定!$L$10:$L$20,$D144)&gt;0,$P144,"")</f>
        <v/>
      </c>
      <c r="S144" s="234" t="str">
        <f>IF(COUNTIF(判定!$L$21,$D144)&gt;0,$P144,"")</f>
        <v/>
      </c>
      <c r="T144" s="341"/>
      <c r="V144" s="226"/>
      <c r="W144" s="221" t="str">
        <f>IF(OR($C144=判定!$K$2,$C144=判定!$K$3,$C144=判定!$K$4,$C144=判定!$K$5),"",IF(COUNTIF($C$15:$C144,$C144)=1,ROW(),""))</f>
        <v/>
      </c>
      <c r="X144" s="221">
        <f t="shared" ref="X144:X207" si="5">IFERROR(INDEX($C:$C,SMALL($W:$W,ROW($A130))),0)</f>
        <v>0</v>
      </c>
      <c r="Y144" s="221">
        <f>IF(COUNTIF($C:$C,$X144)&gt;0,1,0)+IF(OR(COUNTIFS($C:$C,$X144,$D:$D,判定!$L$2)&gt;0,COUNTIFS($C:$C,$X144,$D:$D,判定!$L$3)&gt;0,COUNTIFS($C:$C,$X144,$D:$D,判定!$L$4)&gt;0),1,0)+IF(COUNTIFS($C:$C,$X144,$D:$D,判定!$L$7)&gt;0,1,0)+IF(COUNTIFS($C:$C,$X144,$D:$D,判定!$L$8)&gt;0,1,0)+IF(COUNTIFS($C:$C,$X144,$D:$D,判定!$L$9)&gt;0,1,0)</f>
        <v>0</v>
      </c>
      <c r="Z144" s="221" t="str">
        <f>IF(Y144&gt;0,Y144*100+COUNTIF($Y$15:Y144,Y144),"")</f>
        <v/>
      </c>
      <c r="AA144" s="221" t="e">
        <f t="shared" ref="AA144:AA207" si="6">INDEX($X:$X,MATCH(LARGE($Z:$Z,ROW($A130)),$Z:$Z,0))</f>
        <v>#NUM!</v>
      </c>
      <c r="AB144" s="226"/>
      <c r="AC144" s="226"/>
      <c r="AD144" s="226"/>
      <c r="AE144" s="226"/>
      <c r="AF144" s="226"/>
    </row>
    <row r="145" spans="1:32" s="239" customFormat="1" x14ac:dyDescent="0.2">
      <c r="A145" s="221" t="str">
        <f>IF($D145="","",COUNTA($D$15:$D145))</f>
        <v/>
      </c>
      <c r="B145" s="238"/>
      <c r="C145" s="238"/>
      <c r="D145" s="238"/>
      <c r="E145" s="337"/>
      <c r="F145" s="337"/>
      <c r="G145" s="337"/>
      <c r="H145" s="338"/>
      <c r="I145" s="339" t="str">
        <f t="shared" si="0"/>
        <v/>
      </c>
      <c r="J145" s="236" t="str">
        <f ca="1">IFERROR(VLOOKUP($G145,INDIRECT("判定!"&amp;ADDRESS(ROW(判定!$N$2)+1,COLUMN(判定!$N$2)+MATCH($D145,判定!$N$2:$W$2,0)-1,4,1)&amp;":"&amp;ADDRESS(ROW(判定!$O$2)+4,COLUMN(判定!$N$2)+MATCH($D145,判定!$N$2:$W$2,0),4,1),1),2,1),"")</f>
        <v/>
      </c>
      <c r="K145" s="342"/>
      <c r="L145" s="343"/>
      <c r="M145" s="332"/>
      <c r="N145" s="332"/>
      <c r="O145" s="333"/>
      <c r="P145" s="237"/>
      <c r="Q145" s="234" t="str">
        <f>IF(COUNTIF(判定!$L$2:$L$9,$D145)&gt;0,$P145,"")</f>
        <v/>
      </c>
      <c r="R145" s="234" t="str">
        <f>IF(COUNTIF(判定!$L$10:$L$20,$D145)&gt;0,$P145,"")</f>
        <v/>
      </c>
      <c r="S145" s="234" t="str">
        <f>IF(COUNTIF(判定!$L$21,$D145)&gt;0,$P145,"")</f>
        <v/>
      </c>
      <c r="T145" s="343"/>
      <c r="V145" s="240"/>
      <c r="W145" s="221" t="str">
        <f>IF(OR($C145=判定!$K$2,$C145=判定!$K$3,$C145=判定!$K$4,$C145=判定!$K$5),"",IF(COUNTIF($C$15:$C145,$C145)=1,ROW(),""))</f>
        <v/>
      </c>
      <c r="X145" s="221">
        <f t="shared" si="5"/>
        <v>0</v>
      </c>
      <c r="Y145" s="221">
        <f>IF(COUNTIF($C:$C,$X145)&gt;0,1,0)+IF(OR(COUNTIFS($C:$C,$X145,$D:$D,判定!$L$2)&gt;0,COUNTIFS($C:$C,$X145,$D:$D,判定!$L$3)&gt;0,COUNTIFS($C:$C,$X145,$D:$D,判定!$L$4)&gt;0),1,0)+IF(COUNTIFS($C:$C,$X145,$D:$D,判定!$L$7)&gt;0,1,0)+IF(COUNTIFS($C:$C,$X145,$D:$D,判定!$L$8)&gt;0,1,0)+IF(COUNTIFS($C:$C,$X145,$D:$D,判定!$L$9)&gt;0,1,0)</f>
        <v>0</v>
      </c>
      <c r="Z145" s="221" t="str">
        <f>IF(Y145&gt;0,Y145*100+COUNTIF($Y$15:Y145,Y145),"")</f>
        <v/>
      </c>
      <c r="AA145" s="221" t="e">
        <f t="shared" si="6"/>
        <v>#NUM!</v>
      </c>
      <c r="AB145" s="240"/>
      <c r="AC145" s="240"/>
      <c r="AD145" s="240"/>
      <c r="AE145" s="240"/>
      <c r="AF145" s="240"/>
    </row>
    <row r="146" spans="1:32" s="239" customFormat="1" x14ac:dyDescent="0.2">
      <c r="A146" s="221" t="str">
        <f>IF($D146="","",COUNTA($D$15:$D146))</f>
        <v/>
      </c>
      <c r="B146" s="238"/>
      <c r="C146" s="238"/>
      <c r="D146" s="238"/>
      <c r="E146" s="337"/>
      <c r="F146" s="337"/>
      <c r="G146" s="337"/>
      <c r="H146" s="338"/>
      <c r="I146" s="339" t="str">
        <f t="shared" si="0"/>
        <v/>
      </c>
      <c r="J146" s="236" t="str">
        <f ca="1">IFERROR(VLOOKUP($G146,INDIRECT("判定!"&amp;ADDRESS(ROW(判定!$N$2)+1,COLUMN(判定!$N$2)+MATCH($D146,判定!$N$2:$W$2,0)-1,4,1)&amp;":"&amp;ADDRESS(ROW(判定!$O$2)+4,COLUMN(判定!$N$2)+MATCH($D146,判定!$N$2:$W$2,0),4,1),1),2,1),"")</f>
        <v/>
      </c>
      <c r="K146" s="342"/>
      <c r="L146" s="343"/>
      <c r="M146" s="332"/>
      <c r="N146" s="332"/>
      <c r="O146" s="333"/>
      <c r="P146" s="237"/>
      <c r="Q146" s="234" t="str">
        <f>IF(COUNTIF(判定!$L$2:$L$9,$D146)&gt;0,$P146,"")</f>
        <v/>
      </c>
      <c r="R146" s="234" t="str">
        <f>IF(COUNTIF(判定!$L$10:$L$20,$D146)&gt;0,$P146,"")</f>
        <v/>
      </c>
      <c r="S146" s="234" t="str">
        <f>IF(COUNTIF(判定!$L$21,$D146)&gt;0,$P146,"")</f>
        <v/>
      </c>
      <c r="T146" s="343"/>
      <c r="V146" s="240"/>
      <c r="W146" s="221" t="str">
        <f>IF(OR($C146=判定!$K$2,$C146=判定!$K$3,$C146=判定!$K$4,$C146=判定!$K$5),"",IF(COUNTIF($C$15:$C146,$C146)=1,ROW(),""))</f>
        <v/>
      </c>
      <c r="X146" s="221">
        <f t="shared" si="5"/>
        <v>0</v>
      </c>
      <c r="Y146" s="221">
        <f>IF(COUNTIF($C:$C,$X146)&gt;0,1,0)+IF(OR(COUNTIFS($C:$C,$X146,$D:$D,判定!$L$2)&gt;0,COUNTIFS($C:$C,$X146,$D:$D,判定!$L$3)&gt;0,COUNTIFS($C:$C,$X146,$D:$D,判定!$L$4)&gt;0),1,0)+IF(COUNTIFS($C:$C,$X146,$D:$D,判定!$L$7)&gt;0,1,0)+IF(COUNTIFS($C:$C,$X146,$D:$D,判定!$L$8)&gt;0,1,0)+IF(COUNTIFS($C:$C,$X146,$D:$D,判定!$L$9)&gt;0,1,0)</f>
        <v>0</v>
      </c>
      <c r="Z146" s="221" t="str">
        <f>IF(Y146&gt;0,Y146*100+COUNTIF($Y$15:Y146,Y146),"")</f>
        <v/>
      </c>
      <c r="AA146" s="221" t="e">
        <f t="shared" si="6"/>
        <v>#NUM!</v>
      </c>
      <c r="AB146" s="240"/>
      <c r="AC146" s="240"/>
      <c r="AD146" s="240"/>
      <c r="AE146" s="240"/>
      <c r="AF146" s="240"/>
    </row>
    <row r="147" spans="1:32" x14ac:dyDescent="0.2">
      <c r="A147" s="221" t="str">
        <f>IF($D147="","",COUNTA($D$15:$D147))</f>
        <v/>
      </c>
      <c r="B147" s="235"/>
      <c r="C147" s="235"/>
      <c r="D147" s="235"/>
      <c r="E147" s="337"/>
      <c r="F147" s="337"/>
      <c r="G147" s="337"/>
      <c r="H147" s="338"/>
      <c r="I147" s="339" t="str">
        <f t="shared" si="0"/>
        <v/>
      </c>
      <c r="J147" s="236" t="str">
        <f ca="1">IFERROR(VLOOKUP($G147,INDIRECT("判定!"&amp;ADDRESS(ROW(判定!$N$2)+1,COLUMN(判定!$N$2)+MATCH($D147,判定!$N$2:$W$2,0)-1,4,1)&amp;":"&amp;ADDRESS(ROW(判定!$O$2)+4,COLUMN(判定!$N$2)+MATCH($D147,判定!$N$2:$W$2,0),4,1),1),2,1),"")</f>
        <v/>
      </c>
      <c r="K147" s="340"/>
      <c r="L147" s="341"/>
      <c r="M147" s="330"/>
      <c r="N147" s="330"/>
      <c r="O147" s="331"/>
      <c r="P147" s="237"/>
      <c r="Q147" s="234" t="str">
        <f>IF(COUNTIF(判定!$L$2:$L$9,$D147)&gt;0,$P147,"")</f>
        <v/>
      </c>
      <c r="R147" s="234" t="str">
        <f>IF(COUNTIF(判定!$L$10:$L$20,$D147)&gt;0,$P147,"")</f>
        <v/>
      </c>
      <c r="S147" s="234" t="str">
        <f>IF(COUNTIF(判定!$L$21,$D147)&gt;0,$P147,"")</f>
        <v/>
      </c>
      <c r="T147" s="341"/>
      <c r="V147" s="226"/>
      <c r="W147" s="221" t="str">
        <f>IF(OR($C147=判定!$K$2,$C147=判定!$K$3,$C147=判定!$K$4,$C147=判定!$K$5),"",IF(COUNTIF($C$15:$C147,$C147)=1,ROW(),""))</f>
        <v/>
      </c>
      <c r="X147" s="221">
        <f t="shared" si="5"/>
        <v>0</v>
      </c>
      <c r="Y147" s="221">
        <f>IF(COUNTIF($C:$C,$X147)&gt;0,1,0)+IF(OR(COUNTIFS($C:$C,$X147,$D:$D,判定!$L$2)&gt;0,COUNTIFS($C:$C,$X147,$D:$D,判定!$L$3)&gt;0,COUNTIFS($C:$C,$X147,$D:$D,判定!$L$4)&gt;0),1,0)+IF(COUNTIFS($C:$C,$X147,$D:$D,判定!$L$7)&gt;0,1,0)+IF(COUNTIFS($C:$C,$X147,$D:$D,判定!$L$8)&gt;0,1,0)+IF(COUNTIFS($C:$C,$X147,$D:$D,判定!$L$9)&gt;0,1,0)</f>
        <v>0</v>
      </c>
      <c r="Z147" s="221" t="str">
        <f>IF(Y147&gt;0,Y147*100+COUNTIF($Y$15:Y147,Y147),"")</f>
        <v/>
      </c>
      <c r="AA147" s="221" t="e">
        <f t="shared" si="6"/>
        <v>#NUM!</v>
      </c>
      <c r="AB147" s="226"/>
      <c r="AC147" s="226"/>
      <c r="AD147" s="226"/>
      <c r="AE147" s="226"/>
      <c r="AF147" s="226"/>
    </row>
    <row r="148" spans="1:32" x14ac:dyDescent="0.2">
      <c r="A148" s="221" t="str">
        <f>IF($D148="","",COUNTA($D$15:$D148))</f>
        <v/>
      </c>
      <c r="B148" s="235"/>
      <c r="C148" s="235"/>
      <c r="D148" s="235"/>
      <c r="E148" s="337"/>
      <c r="F148" s="337"/>
      <c r="G148" s="337"/>
      <c r="H148" s="338"/>
      <c r="I148" s="339" t="str">
        <f t="shared" si="0"/>
        <v/>
      </c>
      <c r="J148" s="236" t="str">
        <f ca="1">IFERROR(VLOOKUP($G148,INDIRECT("判定!"&amp;ADDRESS(ROW(判定!$N$2)+1,COLUMN(判定!$N$2)+MATCH($D148,判定!$N$2:$W$2,0)-1,4,1)&amp;":"&amp;ADDRESS(ROW(判定!$O$2)+4,COLUMN(判定!$N$2)+MATCH($D148,判定!$N$2:$W$2,0),4,1),1),2,1),"")</f>
        <v/>
      </c>
      <c r="K148" s="340"/>
      <c r="L148" s="341"/>
      <c r="M148" s="330"/>
      <c r="N148" s="330"/>
      <c r="O148" s="331"/>
      <c r="P148" s="237"/>
      <c r="Q148" s="234" t="str">
        <f>IF(COUNTIF(判定!$L$2:$L$9,$D148)&gt;0,$P148,"")</f>
        <v/>
      </c>
      <c r="R148" s="234" t="str">
        <f>IF(COUNTIF(判定!$L$10:$L$20,$D148)&gt;0,$P148,"")</f>
        <v/>
      </c>
      <c r="S148" s="234" t="str">
        <f>IF(COUNTIF(判定!$L$21,$D148)&gt;0,$P148,"")</f>
        <v/>
      </c>
      <c r="T148" s="341"/>
      <c r="V148" s="226"/>
      <c r="W148" s="221" t="str">
        <f>IF(OR($C148=判定!$K$2,$C148=判定!$K$3,$C148=判定!$K$4,$C148=判定!$K$5),"",IF(COUNTIF($C$15:$C148,$C148)=1,ROW(),""))</f>
        <v/>
      </c>
      <c r="X148" s="221">
        <f t="shared" si="5"/>
        <v>0</v>
      </c>
      <c r="Y148" s="221">
        <f>IF(COUNTIF($C:$C,$X148)&gt;0,1,0)+IF(OR(COUNTIFS($C:$C,$X148,$D:$D,判定!$L$2)&gt;0,COUNTIFS($C:$C,$X148,$D:$D,判定!$L$3)&gt;0,COUNTIFS($C:$C,$X148,$D:$D,判定!$L$4)&gt;0),1,0)+IF(COUNTIFS($C:$C,$X148,$D:$D,判定!$L$7)&gt;0,1,0)+IF(COUNTIFS($C:$C,$X148,$D:$D,判定!$L$8)&gt;0,1,0)+IF(COUNTIFS($C:$C,$X148,$D:$D,判定!$L$9)&gt;0,1,0)</f>
        <v>0</v>
      </c>
      <c r="Z148" s="221" t="str">
        <f>IF(Y148&gt;0,Y148*100+COUNTIF($Y$15:Y148,Y148),"")</f>
        <v/>
      </c>
      <c r="AA148" s="221" t="e">
        <f t="shared" si="6"/>
        <v>#NUM!</v>
      </c>
      <c r="AB148" s="226"/>
      <c r="AC148" s="226"/>
      <c r="AD148" s="226"/>
      <c r="AE148" s="226"/>
      <c r="AF148" s="226"/>
    </row>
    <row r="149" spans="1:32" x14ac:dyDescent="0.2">
      <c r="A149" s="221" t="str">
        <f>IF($D149="","",COUNTA($D$15:$D149))</f>
        <v/>
      </c>
      <c r="B149" s="235"/>
      <c r="C149" s="235"/>
      <c r="D149" s="235"/>
      <c r="E149" s="337"/>
      <c r="F149" s="337"/>
      <c r="G149" s="337"/>
      <c r="H149" s="338"/>
      <c r="I149" s="339" t="str">
        <f t="shared" si="0"/>
        <v/>
      </c>
      <c r="J149" s="236" t="str">
        <f ca="1">IFERROR(VLOOKUP($G149,INDIRECT("判定!"&amp;ADDRESS(ROW(判定!$N$2)+1,COLUMN(判定!$N$2)+MATCH($D149,判定!$N$2:$W$2,0)-1,4,1)&amp;":"&amp;ADDRESS(ROW(判定!$O$2)+4,COLUMN(判定!$N$2)+MATCH($D149,判定!$N$2:$W$2,0),4,1),1),2,1),"")</f>
        <v/>
      </c>
      <c r="K149" s="340"/>
      <c r="L149" s="341"/>
      <c r="M149" s="330"/>
      <c r="N149" s="330"/>
      <c r="O149" s="331"/>
      <c r="P149" s="237"/>
      <c r="Q149" s="234" t="str">
        <f>IF(COUNTIF(判定!$L$2:$L$9,$D149)&gt;0,$P149,"")</f>
        <v/>
      </c>
      <c r="R149" s="234" t="str">
        <f>IF(COUNTIF(判定!$L$10:$L$20,$D149)&gt;0,$P149,"")</f>
        <v/>
      </c>
      <c r="S149" s="234" t="str">
        <f>IF(COUNTIF(判定!$L$21,$D149)&gt;0,$P149,"")</f>
        <v/>
      </c>
      <c r="T149" s="341"/>
      <c r="V149" s="226"/>
      <c r="W149" s="221" t="str">
        <f>IF(OR($C149=判定!$K$2,$C149=判定!$K$3,$C149=判定!$K$4,$C149=判定!$K$5),"",IF(COUNTIF($C$15:$C149,$C149)=1,ROW(),""))</f>
        <v/>
      </c>
      <c r="X149" s="221">
        <f t="shared" si="5"/>
        <v>0</v>
      </c>
      <c r="Y149" s="221">
        <f>IF(COUNTIF($C:$C,$X149)&gt;0,1,0)+IF(OR(COUNTIFS($C:$C,$X149,$D:$D,判定!$L$2)&gt;0,COUNTIFS($C:$C,$X149,$D:$D,判定!$L$3)&gt;0,COUNTIFS($C:$C,$X149,$D:$D,判定!$L$4)&gt;0),1,0)+IF(COUNTIFS($C:$C,$X149,$D:$D,判定!$L$7)&gt;0,1,0)+IF(COUNTIFS($C:$C,$X149,$D:$D,判定!$L$8)&gt;0,1,0)+IF(COUNTIFS($C:$C,$X149,$D:$D,判定!$L$9)&gt;0,1,0)</f>
        <v>0</v>
      </c>
      <c r="Z149" s="221" t="str">
        <f>IF(Y149&gt;0,Y149*100+COUNTIF($Y$15:Y149,Y149),"")</f>
        <v/>
      </c>
      <c r="AA149" s="221" t="e">
        <f t="shared" si="6"/>
        <v>#NUM!</v>
      </c>
      <c r="AB149" s="226"/>
      <c r="AC149" s="226"/>
      <c r="AD149" s="226"/>
      <c r="AE149" s="226"/>
      <c r="AF149" s="226"/>
    </row>
    <row r="150" spans="1:32" x14ac:dyDescent="0.2">
      <c r="A150" s="221" t="str">
        <f>IF($D150="","",COUNTA($D$15:$D150))</f>
        <v/>
      </c>
      <c r="B150" s="235"/>
      <c r="C150" s="235"/>
      <c r="D150" s="235"/>
      <c r="E150" s="337"/>
      <c r="F150" s="337"/>
      <c r="G150" s="337"/>
      <c r="H150" s="338"/>
      <c r="I150" s="339" t="str">
        <f t="shared" ref="I150:I213" si="7">IF(OR(G150=0,H150=0),"",ROUNDDOWN(G150*H150,3))</f>
        <v/>
      </c>
      <c r="J150" s="236" t="str">
        <f ca="1">IFERROR(VLOOKUP($G150,INDIRECT("判定!"&amp;ADDRESS(ROW(判定!$N$2)+1,COLUMN(判定!$N$2)+MATCH($D150,判定!$N$2:$W$2,0)-1,4,1)&amp;":"&amp;ADDRESS(ROW(判定!$O$2)+4,COLUMN(判定!$N$2)+MATCH($D150,判定!$N$2:$W$2,0),4,1),1),2,1),"")</f>
        <v/>
      </c>
      <c r="K150" s="340"/>
      <c r="L150" s="341"/>
      <c r="M150" s="330"/>
      <c r="N150" s="330"/>
      <c r="O150" s="331"/>
      <c r="P150" s="237"/>
      <c r="Q150" s="234" t="str">
        <f>IF(COUNTIF(判定!$L$2:$L$9,$D150)&gt;0,$P150,"")</f>
        <v/>
      </c>
      <c r="R150" s="234" t="str">
        <f>IF(COUNTIF(判定!$L$10:$L$20,$D150)&gt;0,$P150,"")</f>
        <v/>
      </c>
      <c r="S150" s="234" t="str">
        <f>IF(COUNTIF(判定!$L$21,$D150)&gt;0,$P150,"")</f>
        <v/>
      </c>
      <c r="T150" s="341"/>
      <c r="V150" s="226"/>
      <c r="W150" s="221" t="str">
        <f>IF(OR($C150=判定!$K$2,$C150=判定!$K$3,$C150=判定!$K$4,$C150=判定!$K$5),"",IF(COUNTIF($C$15:$C150,$C150)=1,ROW(),""))</f>
        <v/>
      </c>
      <c r="X150" s="221">
        <f t="shared" si="5"/>
        <v>0</v>
      </c>
      <c r="Y150" s="221">
        <f>IF(COUNTIF($C:$C,$X150)&gt;0,1,0)+IF(OR(COUNTIFS($C:$C,$X150,$D:$D,判定!$L$2)&gt;0,COUNTIFS($C:$C,$X150,$D:$D,判定!$L$3)&gt;0,COUNTIFS($C:$C,$X150,$D:$D,判定!$L$4)&gt;0),1,0)+IF(COUNTIFS($C:$C,$X150,$D:$D,判定!$L$7)&gt;0,1,0)+IF(COUNTIFS($C:$C,$X150,$D:$D,判定!$L$8)&gt;0,1,0)+IF(COUNTIFS($C:$C,$X150,$D:$D,判定!$L$9)&gt;0,1,0)</f>
        <v>0</v>
      </c>
      <c r="Z150" s="221" t="str">
        <f>IF(Y150&gt;0,Y150*100+COUNTIF($Y$15:Y150,Y150),"")</f>
        <v/>
      </c>
      <c r="AA150" s="221" t="e">
        <f t="shared" si="6"/>
        <v>#NUM!</v>
      </c>
      <c r="AB150" s="226"/>
      <c r="AC150" s="226"/>
      <c r="AD150" s="226"/>
      <c r="AE150" s="226"/>
      <c r="AF150" s="226"/>
    </row>
    <row r="151" spans="1:32" x14ac:dyDescent="0.2">
      <c r="A151" s="221" t="str">
        <f>IF($D151="","",COUNTA($D$15:$D151))</f>
        <v/>
      </c>
      <c r="B151" s="235"/>
      <c r="C151" s="235"/>
      <c r="D151" s="235"/>
      <c r="E151" s="337"/>
      <c r="F151" s="337"/>
      <c r="G151" s="337"/>
      <c r="H151" s="338"/>
      <c r="I151" s="339" t="str">
        <f t="shared" si="7"/>
        <v/>
      </c>
      <c r="J151" s="236" t="str">
        <f ca="1">IFERROR(VLOOKUP($G151,INDIRECT("判定!"&amp;ADDRESS(ROW(判定!$N$2)+1,COLUMN(判定!$N$2)+MATCH($D151,判定!$N$2:$W$2,0)-1,4,1)&amp;":"&amp;ADDRESS(ROW(判定!$O$2)+4,COLUMN(判定!$N$2)+MATCH($D151,判定!$N$2:$W$2,0),4,1),1),2,1),"")</f>
        <v/>
      </c>
      <c r="K151" s="340"/>
      <c r="L151" s="341"/>
      <c r="M151" s="330"/>
      <c r="N151" s="330"/>
      <c r="O151" s="331"/>
      <c r="P151" s="237"/>
      <c r="Q151" s="234" t="str">
        <f>IF(COUNTIF(判定!$L$2:$L$9,$D151)&gt;0,$P151,"")</f>
        <v/>
      </c>
      <c r="R151" s="234" t="str">
        <f>IF(COUNTIF(判定!$L$10:$L$20,$D151)&gt;0,$P151,"")</f>
        <v/>
      </c>
      <c r="S151" s="234" t="str">
        <f>IF(COUNTIF(判定!$L$21,$D151)&gt;0,$P151,"")</f>
        <v/>
      </c>
      <c r="T151" s="341"/>
      <c r="V151" s="226"/>
      <c r="W151" s="221" t="str">
        <f>IF(OR($C151=判定!$K$2,$C151=判定!$K$3,$C151=判定!$K$4,$C151=判定!$K$5),"",IF(COUNTIF($C$15:$C151,$C151)=1,ROW(),""))</f>
        <v/>
      </c>
      <c r="X151" s="221">
        <f t="shared" si="5"/>
        <v>0</v>
      </c>
      <c r="Y151" s="221">
        <f>IF(COUNTIF($C:$C,$X151)&gt;0,1,0)+IF(OR(COUNTIFS($C:$C,$X151,$D:$D,判定!$L$2)&gt;0,COUNTIFS($C:$C,$X151,$D:$D,判定!$L$3)&gt;0,COUNTIFS($C:$C,$X151,$D:$D,判定!$L$4)&gt;0),1,0)+IF(COUNTIFS($C:$C,$X151,$D:$D,判定!$L$7)&gt;0,1,0)+IF(COUNTIFS($C:$C,$X151,$D:$D,判定!$L$8)&gt;0,1,0)+IF(COUNTIFS($C:$C,$X151,$D:$D,判定!$L$9)&gt;0,1,0)</f>
        <v>0</v>
      </c>
      <c r="Z151" s="221" t="str">
        <f>IF(Y151&gt;0,Y151*100+COUNTIF($Y$15:Y151,Y151),"")</f>
        <v/>
      </c>
      <c r="AA151" s="221" t="e">
        <f t="shared" si="6"/>
        <v>#NUM!</v>
      </c>
      <c r="AB151" s="226"/>
      <c r="AC151" s="226"/>
      <c r="AD151" s="226"/>
      <c r="AE151" s="226"/>
      <c r="AF151" s="226"/>
    </row>
    <row r="152" spans="1:32" x14ac:dyDescent="0.2">
      <c r="A152" s="221" t="str">
        <f>IF($D152="","",COUNTA($D$15:$D152))</f>
        <v/>
      </c>
      <c r="B152" s="235"/>
      <c r="C152" s="235"/>
      <c r="D152" s="235"/>
      <c r="E152" s="337"/>
      <c r="F152" s="337"/>
      <c r="G152" s="337"/>
      <c r="H152" s="338"/>
      <c r="I152" s="339" t="str">
        <f t="shared" si="7"/>
        <v/>
      </c>
      <c r="J152" s="236" t="str">
        <f ca="1">IFERROR(VLOOKUP($G152,INDIRECT("判定!"&amp;ADDRESS(ROW(判定!$N$2)+1,COLUMN(判定!$N$2)+MATCH($D152,判定!$N$2:$W$2,0)-1,4,1)&amp;":"&amp;ADDRESS(ROW(判定!$O$2)+4,COLUMN(判定!$N$2)+MATCH($D152,判定!$N$2:$W$2,0),4,1),1),2,1),"")</f>
        <v/>
      </c>
      <c r="K152" s="340"/>
      <c r="L152" s="341"/>
      <c r="M152" s="330"/>
      <c r="N152" s="330"/>
      <c r="O152" s="331"/>
      <c r="P152" s="237"/>
      <c r="Q152" s="234" t="str">
        <f>IF(COUNTIF(判定!$L$2:$L$9,$D152)&gt;0,$P152,"")</f>
        <v/>
      </c>
      <c r="R152" s="234" t="str">
        <f>IF(COUNTIF(判定!$L$10:$L$20,$D152)&gt;0,$P152,"")</f>
        <v/>
      </c>
      <c r="S152" s="234" t="str">
        <f>IF(COUNTIF(判定!$L$21,$D152)&gt;0,$P152,"")</f>
        <v/>
      </c>
      <c r="T152" s="341"/>
      <c r="V152" s="226"/>
      <c r="W152" s="221" t="str">
        <f>IF(OR($C152=判定!$K$2,$C152=判定!$K$3,$C152=判定!$K$4,$C152=判定!$K$5),"",IF(COUNTIF($C$15:$C152,$C152)=1,ROW(),""))</f>
        <v/>
      </c>
      <c r="X152" s="221">
        <f t="shared" si="5"/>
        <v>0</v>
      </c>
      <c r="Y152" s="221">
        <f>IF(COUNTIF($C:$C,$X152)&gt;0,1,0)+IF(OR(COUNTIFS($C:$C,$X152,$D:$D,判定!$L$2)&gt;0,COUNTIFS($C:$C,$X152,$D:$D,判定!$L$3)&gt;0,COUNTIFS($C:$C,$X152,$D:$D,判定!$L$4)&gt;0),1,0)+IF(COUNTIFS($C:$C,$X152,$D:$D,判定!$L$7)&gt;0,1,0)+IF(COUNTIFS($C:$C,$X152,$D:$D,判定!$L$8)&gt;0,1,0)+IF(COUNTIFS($C:$C,$X152,$D:$D,判定!$L$9)&gt;0,1,0)</f>
        <v>0</v>
      </c>
      <c r="Z152" s="221" t="str">
        <f>IF(Y152&gt;0,Y152*100+COUNTIF($Y$15:Y152,Y152),"")</f>
        <v/>
      </c>
      <c r="AA152" s="221" t="e">
        <f t="shared" si="6"/>
        <v>#NUM!</v>
      </c>
      <c r="AB152" s="226"/>
      <c r="AC152" s="226"/>
      <c r="AD152" s="226"/>
      <c r="AE152" s="226"/>
      <c r="AF152" s="226"/>
    </row>
    <row r="153" spans="1:32" x14ac:dyDescent="0.2">
      <c r="A153" s="221" t="str">
        <f>IF($D153="","",COUNTA($D$15:$D153))</f>
        <v/>
      </c>
      <c r="B153" s="235"/>
      <c r="C153" s="235"/>
      <c r="D153" s="235"/>
      <c r="E153" s="337"/>
      <c r="F153" s="337"/>
      <c r="G153" s="337"/>
      <c r="H153" s="338"/>
      <c r="I153" s="339" t="str">
        <f t="shared" si="7"/>
        <v/>
      </c>
      <c r="J153" s="236" t="str">
        <f ca="1">IFERROR(VLOOKUP($G153,INDIRECT("判定!"&amp;ADDRESS(ROW(判定!$N$2)+1,COLUMN(判定!$N$2)+MATCH($D153,判定!$N$2:$W$2,0)-1,4,1)&amp;":"&amp;ADDRESS(ROW(判定!$O$2)+4,COLUMN(判定!$N$2)+MATCH($D153,判定!$N$2:$W$2,0),4,1),1),2,1),"")</f>
        <v/>
      </c>
      <c r="K153" s="340"/>
      <c r="L153" s="341"/>
      <c r="M153" s="330"/>
      <c r="N153" s="330"/>
      <c r="O153" s="331"/>
      <c r="P153" s="237"/>
      <c r="Q153" s="234" t="str">
        <f>IF(COUNTIF(判定!$L$2:$L$9,$D153)&gt;0,$P153,"")</f>
        <v/>
      </c>
      <c r="R153" s="234" t="str">
        <f>IF(COUNTIF(判定!$L$10:$L$20,$D153)&gt;0,$P153,"")</f>
        <v/>
      </c>
      <c r="S153" s="234" t="str">
        <f>IF(COUNTIF(判定!$L$21,$D153)&gt;0,$P153,"")</f>
        <v/>
      </c>
      <c r="T153" s="341"/>
      <c r="V153" s="226"/>
      <c r="W153" s="221" t="str">
        <f>IF(OR($C153=判定!$K$2,$C153=判定!$K$3,$C153=判定!$K$4,$C153=判定!$K$5),"",IF(COUNTIF($C$15:$C153,$C153)=1,ROW(),""))</f>
        <v/>
      </c>
      <c r="X153" s="221">
        <f t="shared" si="5"/>
        <v>0</v>
      </c>
      <c r="Y153" s="221">
        <f>IF(COUNTIF($C:$C,$X153)&gt;0,1,0)+IF(OR(COUNTIFS($C:$C,$X153,$D:$D,判定!$L$2)&gt;0,COUNTIFS($C:$C,$X153,$D:$D,判定!$L$3)&gt;0,COUNTIFS($C:$C,$X153,$D:$D,判定!$L$4)&gt;0),1,0)+IF(COUNTIFS($C:$C,$X153,$D:$D,判定!$L$7)&gt;0,1,0)+IF(COUNTIFS($C:$C,$X153,$D:$D,判定!$L$8)&gt;0,1,0)+IF(COUNTIFS($C:$C,$X153,$D:$D,判定!$L$9)&gt;0,1,0)</f>
        <v>0</v>
      </c>
      <c r="Z153" s="221" t="str">
        <f>IF(Y153&gt;0,Y153*100+COUNTIF($Y$15:Y153,Y153),"")</f>
        <v/>
      </c>
      <c r="AA153" s="221" t="e">
        <f t="shared" si="6"/>
        <v>#NUM!</v>
      </c>
      <c r="AB153" s="226"/>
      <c r="AC153" s="226"/>
      <c r="AD153" s="226"/>
      <c r="AE153" s="226"/>
      <c r="AF153" s="226"/>
    </row>
    <row r="154" spans="1:32" x14ac:dyDescent="0.2">
      <c r="A154" s="221" t="str">
        <f>IF($D154="","",COUNTA($D$15:$D154))</f>
        <v/>
      </c>
      <c r="B154" s="235"/>
      <c r="C154" s="235"/>
      <c r="D154" s="235"/>
      <c r="E154" s="337"/>
      <c r="F154" s="337"/>
      <c r="G154" s="337"/>
      <c r="H154" s="338"/>
      <c r="I154" s="339" t="str">
        <f t="shared" si="7"/>
        <v/>
      </c>
      <c r="J154" s="236" t="str">
        <f ca="1">IFERROR(VLOOKUP($G154,INDIRECT("判定!"&amp;ADDRESS(ROW(判定!$N$2)+1,COLUMN(判定!$N$2)+MATCH($D154,判定!$N$2:$W$2,0)-1,4,1)&amp;":"&amp;ADDRESS(ROW(判定!$O$2)+4,COLUMN(判定!$N$2)+MATCH($D154,判定!$N$2:$W$2,0),4,1),1),2,1),"")</f>
        <v/>
      </c>
      <c r="K154" s="340"/>
      <c r="L154" s="341"/>
      <c r="M154" s="330"/>
      <c r="N154" s="330"/>
      <c r="O154" s="331"/>
      <c r="P154" s="237"/>
      <c r="Q154" s="234" t="str">
        <f>IF(COUNTIF(判定!$L$2:$L$9,$D154)&gt;0,$P154,"")</f>
        <v/>
      </c>
      <c r="R154" s="234" t="str">
        <f>IF(COUNTIF(判定!$L$10:$L$20,$D154)&gt;0,$P154,"")</f>
        <v/>
      </c>
      <c r="S154" s="234" t="str">
        <f>IF(COUNTIF(判定!$L$21,$D154)&gt;0,$P154,"")</f>
        <v/>
      </c>
      <c r="T154" s="341"/>
      <c r="V154" s="226"/>
      <c r="W154" s="221" t="str">
        <f>IF(OR($C154=判定!$K$2,$C154=判定!$K$3,$C154=判定!$K$4,$C154=判定!$K$5),"",IF(COUNTIF($C$15:$C154,$C154)=1,ROW(),""))</f>
        <v/>
      </c>
      <c r="X154" s="221">
        <f t="shared" si="5"/>
        <v>0</v>
      </c>
      <c r="Y154" s="221">
        <f>IF(COUNTIF($C:$C,$X154)&gt;0,1,0)+IF(OR(COUNTIFS($C:$C,$X154,$D:$D,判定!$L$2)&gt;0,COUNTIFS($C:$C,$X154,$D:$D,判定!$L$3)&gt;0,COUNTIFS($C:$C,$X154,$D:$D,判定!$L$4)&gt;0),1,0)+IF(COUNTIFS($C:$C,$X154,$D:$D,判定!$L$7)&gt;0,1,0)+IF(COUNTIFS($C:$C,$X154,$D:$D,判定!$L$8)&gt;0,1,0)+IF(COUNTIFS($C:$C,$X154,$D:$D,判定!$L$9)&gt;0,1,0)</f>
        <v>0</v>
      </c>
      <c r="Z154" s="221" t="str">
        <f>IF(Y154&gt;0,Y154*100+COUNTIF($Y$15:Y154,Y154),"")</f>
        <v/>
      </c>
      <c r="AA154" s="221" t="e">
        <f t="shared" si="6"/>
        <v>#NUM!</v>
      </c>
      <c r="AB154" s="226"/>
      <c r="AC154" s="226"/>
      <c r="AD154" s="226"/>
      <c r="AE154" s="226"/>
      <c r="AF154" s="226"/>
    </row>
    <row r="155" spans="1:32" x14ac:dyDescent="0.2">
      <c r="A155" s="221" t="str">
        <f>IF($D155="","",COUNTA($D$15:$D155))</f>
        <v/>
      </c>
      <c r="B155" s="235"/>
      <c r="C155" s="235"/>
      <c r="D155" s="235"/>
      <c r="E155" s="337"/>
      <c r="F155" s="337"/>
      <c r="G155" s="337"/>
      <c r="H155" s="338"/>
      <c r="I155" s="339" t="str">
        <f t="shared" si="7"/>
        <v/>
      </c>
      <c r="J155" s="236" t="str">
        <f ca="1">IFERROR(VLOOKUP($G155,INDIRECT("判定!"&amp;ADDRESS(ROW(判定!$N$2)+1,COLUMN(判定!$N$2)+MATCH($D155,判定!$N$2:$W$2,0)-1,4,1)&amp;":"&amp;ADDRESS(ROW(判定!$O$2)+4,COLUMN(判定!$N$2)+MATCH($D155,判定!$N$2:$W$2,0),4,1),1),2,1),"")</f>
        <v/>
      </c>
      <c r="K155" s="340"/>
      <c r="L155" s="341"/>
      <c r="M155" s="330"/>
      <c r="N155" s="330"/>
      <c r="O155" s="331"/>
      <c r="P155" s="237"/>
      <c r="Q155" s="234" t="str">
        <f>IF(COUNTIF(判定!$L$2:$L$9,$D155)&gt;0,$P155,"")</f>
        <v/>
      </c>
      <c r="R155" s="234" t="str">
        <f>IF(COUNTIF(判定!$L$10:$L$20,$D155)&gt;0,$P155,"")</f>
        <v/>
      </c>
      <c r="S155" s="234" t="str">
        <f>IF(COUNTIF(判定!$L$21,$D155)&gt;0,$P155,"")</f>
        <v/>
      </c>
      <c r="T155" s="341"/>
      <c r="V155" s="226"/>
      <c r="W155" s="221" t="str">
        <f>IF(OR($C155=判定!$K$2,$C155=判定!$K$3,$C155=判定!$K$4,$C155=判定!$K$5),"",IF(COUNTIF($C$15:$C155,$C155)=1,ROW(),""))</f>
        <v/>
      </c>
      <c r="X155" s="221">
        <f t="shared" si="5"/>
        <v>0</v>
      </c>
      <c r="Y155" s="221">
        <f>IF(COUNTIF($C:$C,$X155)&gt;0,1,0)+IF(OR(COUNTIFS($C:$C,$X155,$D:$D,判定!$L$2)&gt;0,COUNTIFS($C:$C,$X155,$D:$D,判定!$L$3)&gt;0,COUNTIFS($C:$C,$X155,$D:$D,判定!$L$4)&gt;0),1,0)+IF(COUNTIFS($C:$C,$X155,$D:$D,判定!$L$7)&gt;0,1,0)+IF(COUNTIFS($C:$C,$X155,$D:$D,判定!$L$8)&gt;0,1,0)+IF(COUNTIFS($C:$C,$X155,$D:$D,判定!$L$9)&gt;0,1,0)</f>
        <v>0</v>
      </c>
      <c r="Z155" s="221" t="str">
        <f>IF(Y155&gt;0,Y155*100+COUNTIF($Y$15:Y155,Y155),"")</f>
        <v/>
      </c>
      <c r="AA155" s="221" t="e">
        <f t="shared" si="6"/>
        <v>#NUM!</v>
      </c>
      <c r="AB155" s="226"/>
      <c r="AC155" s="226"/>
      <c r="AD155" s="226"/>
      <c r="AE155" s="226"/>
      <c r="AF155" s="226"/>
    </row>
    <row r="156" spans="1:32" x14ac:dyDescent="0.2">
      <c r="A156" s="221" t="str">
        <f>IF($D156="","",COUNTA($D$15:$D156))</f>
        <v/>
      </c>
      <c r="B156" s="235"/>
      <c r="C156" s="235"/>
      <c r="D156" s="235"/>
      <c r="E156" s="337"/>
      <c r="F156" s="337"/>
      <c r="G156" s="337"/>
      <c r="H156" s="338"/>
      <c r="I156" s="339" t="str">
        <f t="shared" si="7"/>
        <v/>
      </c>
      <c r="J156" s="236" t="str">
        <f ca="1">IFERROR(VLOOKUP($G156,INDIRECT("判定!"&amp;ADDRESS(ROW(判定!$N$2)+1,COLUMN(判定!$N$2)+MATCH($D156,判定!$N$2:$W$2,0)-1,4,1)&amp;":"&amp;ADDRESS(ROW(判定!$O$2)+4,COLUMN(判定!$N$2)+MATCH($D156,判定!$N$2:$W$2,0),4,1),1),2,1),"")</f>
        <v/>
      </c>
      <c r="K156" s="340"/>
      <c r="L156" s="341"/>
      <c r="M156" s="330"/>
      <c r="N156" s="330"/>
      <c r="O156" s="331"/>
      <c r="P156" s="237"/>
      <c r="Q156" s="234" t="str">
        <f>IF(COUNTIF(判定!$L$2:$L$9,$D156)&gt;0,$P156,"")</f>
        <v/>
      </c>
      <c r="R156" s="234" t="str">
        <f>IF(COUNTIF(判定!$L$10:$L$20,$D156)&gt;0,$P156,"")</f>
        <v/>
      </c>
      <c r="S156" s="234" t="str">
        <f>IF(COUNTIF(判定!$L$21,$D156)&gt;0,$P156,"")</f>
        <v/>
      </c>
      <c r="T156" s="341"/>
      <c r="V156" s="226"/>
      <c r="W156" s="221" t="str">
        <f>IF(OR($C156=判定!$K$2,$C156=判定!$K$3,$C156=判定!$K$4,$C156=判定!$K$5),"",IF(COUNTIF($C$15:$C156,$C156)=1,ROW(),""))</f>
        <v/>
      </c>
      <c r="X156" s="221">
        <f t="shared" si="5"/>
        <v>0</v>
      </c>
      <c r="Y156" s="221">
        <f>IF(COUNTIF($C:$C,$X156)&gt;0,1,0)+IF(OR(COUNTIFS($C:$C,$X156,$D:$D,判定!$L$2)&gt;0,COUNTIFS($C:$C,$X156,$D:$D,判定!$L$3)&gt;0,COUNTIFS($C:$C,$X156,$D:$D,判定!$L$4)&gt;0),1,0)+IF(COUNTIFS($C:$C,$X156,$D:$D,判定!$L$7)&gt;0,1,0)+IF(COUNTIFS($C:$C,$X156,$D:$D,判定!$L$8)&gt;0,1,0)+IF(COUNTIFS($C:$C,$X156,$D:$D,判定!$L$9)&gt;0,1,0)</f>
        <v>0</v>
      </c>
      <c r="Z156" s="221" t="str">
        <f>IF(Y156&gt;0,Y156*100+COUNTIF($Y$15:Y156,Y156),"")</f>
        <v/>
      </c>
      <c r="AA156" s="221" t="e">
        <f t="shared" si="6"/>
        <v>#NUM!</v>
      </c>
      <c r="AB156" s="226"/>
      <c r="AC156" s="226"/>
      <c r="AD156" s="226"/>
      <c r="AE156" s="226"/>
      <c r="AF156" s="226"/>
    </row>
    <row r="157" spans="1:32" x14ac:dyDescent="0.2">
      <c r="A157" s="221" t="str">
        <f>IF($D157="","",COUNTA($D$15:$D157))</f>
        <v/>
      </c>
      <c r="B157" s="235"/>
      <c r="C157" s="235"/>
      <c r="D157" s="235"/>
      <c r="E157" s="337"/>
      <c r="F157" s="337"/>
      <c r="G157" s="337"/>
      <c r="H157" s="338"/>
      <c r="I157" s="339" t="str">
        <f t="shared" si="7"/>
        <v/>
      </c>
      <c r="J157" s="236" t="str">
        <f ca="1">IFERROR(VLOOKUP($G157,INDIRECT("判定!"&amp;ADDRESS(ROW(判定!$N$2)+1,COLUMN(判定!$N$2)+MATCH($D157,判定!$N$2:$W$2,0)-1,4,1)&amp;":"&amp;ADDRESS(ROW(判定!$O$2)+4,COLUMN(判定!$N$2)+MATCH($D157,判定!$N$2:$W$2,0),4,1),1),2,1),"")</f>
        <v/>
      </c>
      <c r="K157" s="340"/>
      <c r="L157" s="341"/>
      <c r="M157" s="330"/>
      <c r="N157" s="330"/>
      <c r="O157" s="331"/>
      <c r="P157" s="237"/>
      <c r="Q157" s="234" t="str">
        <f>IF(COUNTIF(判定!$L$2:$L$9,$D157)&gt;0,$P157,"")</f>
        <v/>
      </c>
      <c r="R157" s="234" t="str">
        <f>IF(COUNTIF(判定!$L$10:$L$20,$D157)&gt;0,$P157,"")</f>
        <v/>
      </c>
      <c r="S157" s="234" t="str">
        <f>IF(COUNTIF(判定!$L$21,$D157)&gt;0,$P157,"")</f>
        <v/>
      </c>
      <c r="T157" s="341"/>
      <c r="V157" s="226"/>
      <c r="W157" s="221" t="str">
        <f>IF(OR($C157=判定!$K$2,$C157=判定!$K$3,$C157=判定!$K$4,$C157=判定!$K$5),"",IF(COUNTIF($C$15:$C157,$C157)=1,ROW(),""))</f>
        <v/>
      </c>
      <c r="X157" s="221">
        <f t="shared" si="5"/>
        <v>0</v>
      </c>
      <c r="Y157" s="221">
        <f>IF(COUNTIF($C:$C,$X157)&gt;0,1,0)+IF(OR(COUNTIFS($C:$C,$X157,$D:$D,判定!$L$2)&gt;0,COUNTIFS($C:$C,$X157,$D:$D,判定!$L$3)&gt;0,COUNTIFS($C:$C,$X157,$D:$D,判定!$L$4)&gt;0),1,0)+IF(COUNTIFS($C:$C,$X157,$D:$D,判定!$L$7)&gt;0,1,0)+IF(COUNTIFS($C:$C,$X157,$D:$D,判定!$L$8)&gt;0,1,0)+IF(COUNTIFS($C:$C,$X157,$D:$D,判定!$L$9)&gt;0,1,0)</f>
        <v>0</v>
      </c>
      <c r="Z157" s="221" t="str">
        <f>IF(Y157&gt;0,Y157*100+COUNTIF($Y$15:Y157,Y157),"")</f>
        <v/>
      </c>
      <c r="AA157" s="221" t="e">
        <f t="shared" si="6"/>
        <v>#NUM!</v>
      </c>
      <c r="AB157" s="226"/>
      <c r="AC157" s="226"/>
      <c r="AD157" s="226"/>
      <c r="AE157" s="226"/>
      <c r="AF157" s="226"/>
    </row>
    <row r="158" spans="1:32" x14ac:dyDescent="0.2">
      <c r="A158" s="221" t="str">
        <f>IF($D158="","",COUNTA($D$15:$D158))</f>
        <v/>
      </c>
      <c r="B158" s="235"/>
      <c r="C158" s="235"/>
      <c r="D158" s="235"/>
      <c r="E158" s="337"/>
      <c r="F158" s="337"/>
      <c r="G158" s="337"/>
      <c r="H158" s="338"/>
      <c r="I158" s="339" t="str">
        <f t="shared" si="7"/>
        <v/>
      </c>
      <c r="J158" s="236" t="str">
        <f ca="1">IFERROR(VLOOKUP($G158,INDIRECT("判定!"&amp;ADDRESS(ROW(判定!$N$2)+1,COLUMN(判定!$N$2)+MATCH($D158,判定!$N$2:$W$2,0)-1,4,1)&amp;":"&amp;ADDRESS(ROW(判定!$O$2)+4,COLUMN(判定!$N$2)+MATCH($D158,判定!$N$2:$W$2,0),4,1),1),2,1),"")</f>
        <v/>
      </c>
      <c r="K158" s="340"/>
      <c r="L158" s="341"/>
      <c r="M158" s="330"/>
      <c r="N158" s="330"/>
      <c r="O158" s="331"/>
      <c r="P158" s="237"/>
      <c r="Q158" s="234" t="str">
        <f>IF(COUNTIF(判定!$L$2:$L$9,$D158)&gt;0,$P158,"")</f>
        <v/>
      </c>
      <c r="R158" s="234" t="str">
        <f>IF(COUNTIF(判定!$L$10:$L$20,$D158)&gt;0,$P158,"")</f>
        <v/>
      </c>
      <c r="S158" s="234" t="str">
        <f>IF(COUNTIF(判定!$L$21,$D158)&gt;0,$P158,"")</f>
        <v/>
      </c>
      <c r="T158" s="341"/>
      <c r="V158" s="226"/>
      <c r="W158" s="221" t="str">
        <f>IF(OR($C158=判定!$K$2,$C158=判定!$K$3,$C158=判定!$K$4,$C158=判定!$K$5),"",IF(COUNTIF($C$15:$C158,$C158)=1,ROW(),""))</f>
        <v/>
      </c>
      <c r="X158" s="221">
        <f t="shared" si="5"/>
        <v>0</v>
      </c>
      <c r="Y158" s="221">
        <f>IF(COUNTIF($C:$C,$X158)&gt;0,1,0)+IF(OR(COUNTIFS($C:$C,$X158,$D:$D,判定!$L$2)&gt;0,COUNTIFS($C:$C,$X158,$D:$D,判定!$L$3)&gt;0,COUNTIFS($C:$C,$X158,$D:$D,判定!$L$4)&gt;0),1,0)+IF(COUNTIFS($C:$C,$X158,$D:$D,判定!$L$7)&gt;0,1,0)+IF(COUNTIFS($C:$C,$X158,$D:$D,判定!$L$8)&gt;0,1,0)+IF(COUNTIFS($C:$C,$X158,$D:$D,判定!$L$9)&gt;0,1,0)</f>
        <v>0</v>
      </c>
      <c r="Z158" s="221" t="str">
        <f>IF(Y158&gt;0,Y158*100+COUNTIF($Y$15:Y158,Y158),"")</f>
        <v/>
      </c>
      <c r="AA158" s="221" t="e">
        <f t="shared" si="6"/>
        <v>#NUM!</v>
      </c>
      <c r="AB158" s="226"/>
      <c r="AC158" s="226"/>
      <c r="AD158" s="226"/>
      <c r="AE158" s="226"/>
      <c r="AF158" s="226"/>
    </row>
    <row r="159" spans="1:32" x14ac:dyDescent="0.2">
      <c r="A159" s="221" t="str">
        <f>IF($D159="","",COUNTA($D$15:$D159))</f>
        <v/>
      </c>
      <c r="B159" s="235"/>
      <c r="C159" s="235"/>
      <c r="D159" s="235"/>
      <c r="E159" s="337"/>
      <c r="F159" s="337"/>
      <c r="G159" s="337"/>
      <c r="H159" s="338"/>
      <c r="I159" s="339" t="str">
        <f t="shared" si="7"/>
        <v/>
      </c>
      <c r="J159" s="236" t="str">
        <f ca="1">IFERROR(VLOOKUP($G159,INDIRECT("判定!"&amp;ADDRESS(ROW(判定!$N$2)+1,COLUMN(判定!$N$2)+MATCH($D159,判定!$N$2:$W$2,0)-1,4,1)&amp;":"&amp;ADDRESS(ROW(判定!$O$2)+4,COLUMN(判定!$N$2)+MATCH($D159,判定!$N$2:$W$2,0),4,1),1),2,1),"")</f>
        <v/>
      </c>
      <c r="K159" s="340"/>
      <c r="L159" s="341"/>
      <c r="M159" s="330"/>
      <c r="N159" s="330"/>
      <c r="O159" s="331"/>
      <c r="P159" s="237"/>
      <c r="Q159" s="234" t="str">
        <f>IF(COUNTIF(判定!$L$2:$L$9,$D159)&gt;0,$P159,"")</f>
        <v/>
      </c>
      <c r="R159" s="234" t="str">
        <f>IF(COUNTIF(判定!$L$10:$L$20,$D159)&gt;0,$P159,"")</f>
        <v/>
      </c>
      <c r="S159" s="234" t="str">
        <f>IF(COUNTIF(判定!$L$21,$D159)&gt;0,$P159,"")</f>
        <v/>
      </c>
      <c r="T159" s="341"/>
      <c r="V159" s="226"/>
      <c r="W159" s="221" t="str">
        <f>IF(OR($C159=判定!$K$2,$C159=判定!$K$3,$C159=判定!$K$4,$C159=判定!$K$5),"",IF(COUNTIF($C$15:$C159,$C159)=1,ROW(),""))</f>
        <v/>
      </c>
      <c r="X159" s="221">
        <f t="shared" si="5"/>
        <v>0</v>
      </c>
      <c r="Y159" s="221">
        <f>IF(COUNTIF($C:$C,$X159)&gt;0,1,0)+IF(OR(COUNTIFS($C:$C,$X159,$D:$D,判定!$L$2)&gt;0,COUNTIFS($C:$C,$X159,$D:$D,判定!$L$3)&gt;0,COUNTIFS($C:$C,$X159,$D:$D,判定!$L$4)&gt;0),1,0)+IF(COUNTIFS($C:$C,$X159,$D:$D,判定!$L$7)&gt;0,1,0)+IF(COUNTIFS($C:$C,$X159,$D:$D,判定!$L$8)&gt;0,1,0)+IF(COUNTIFS($C:$C,$X159,$D:$D,判定!$L$9)&gt;0,1,0)</f>
        <v>0</v>
      </c>
      <c r="Z159" s="221" t="str">
        <f>IF(Y159&gt;0,Y159*100+COUNTIF($Y$15:Y159,Y159),"")</f>
        <v/>
      </c>
      <c r="AA159" s="221" t="e">
        <f t="shared" si="6"/>
        <v>#NUM!</v>
      </c>
      <c r="AB159" s="226"/>
      <c r="AC159" s="226"/>
      <c r="AD159" s="226"/>
      <c r="AE159" s="226"/>
      <c r="AF159" s="226"/>
    </row>
    <row r="160" spans="1:32" x14ac:dyDescent="0.2">
      <c r="A160" s="221" t="str">
        <f>IF($D160="","",COUNTA($D$15:$D160))</f>
        <v/>
      </c>
      <c r="B160" s="235"/>
      <c r="C160" s="235"/>
      <c r="D160" s="235"/>
      <c r="E160" s="337"/>
      <c r="F160" s="337"/>
      <c r="G160" s="337"/>
      <c r="H160" s="338"/>
      <c r="I160" s="339" t="str">
        <f t="shared" si="7"/>
        <v/>
      </c>
      <c r="J160" s="236" t="str">
        <f ca="1">IFERROR(VLOOKUP($G160,INDIRECT("判定!"&amp;ADDRESS(ROW(判定!$N$2)+1,COLUMN(判定!$N$2)+MATCH($D160,判定!$N$2:$W$2,0)-1,4,1)&amp;":"&amp;ADDRESS(ROW(判定!$O$2)+4,COLUMN(判定!$N$2)+MATCH($D160,判定!$N$2:$W$2,0),4,1),1),2,1),"")</f>
        <v/>
      </c>
      <c r="K160" s="340"/>
      <c r="L160" s="341"/>
      <c r="M160" s="330"/>
      <c r="N160" s="330"/>
      <c r="O160" s="331"/>
      <c r="P160" s="237"/>
      <c r="Q160" s="234" t="str">
        <f>IF(COUNTIF(判定!$L$2:$L$9,$D160)&gt;0,$P160,"")</f>
        <v/>
      </c>
      <c r="R160" s="234" t="str">
        <f>IF(COUNTIF(判定!$L$10:$L$20,$D160)&gt;0,$P160,"")</f>
        <v/>
      </c>
      <c r="S160" s="234" t="str">
        <f>IF(COUNTIF(判定!$L$21,$D160)&gt;0,$P160,"")</f>
        <v/>
      </c>
      <c r="T160" s="341"/>
      <c r="V160" s="226"/>
      <c r="W160" s="221" t="str">
        <f>IF(OR($C160=判定!$K$2,$C160=判定!$K$3,$C160=判定!$K$4,$C160=判定!$K$5),"",IF(COUNTIF($C$15:$C160,$C160)=1,ROW(),""))</f>
        <v/>
      </c>
      <c r="X160" s="221">
        <f t="shared" si="5"/>
        <v>0</v>
      </c>
      <c r="Y160" s="221">
        <f>IF(COUNTIF($C:$C,$X160)&gt;0,1,0)+IF(OR(COUNTIFS($C:$C,$X160,$D:$D,判定!$L$2)&gt;0,COUNTIFS($C:$C,$X160,$D:$D,判定!$L$3)&gt;0,COUNTIFS($C:$C,$X160,$D:$D,判定!$L$4)&gt;0),1,0)+IF(COUNTIFS($C:$C,$X160,$D:$D,判定!$L$7)&gt;0,1,0)+IF(COUNTIFS($C:$C,$X160,$D:$D,判定!$L$8)&gt;0,1,0)+IF(COUNTIFS($C:$C,$X160,$D:$D,判定!$L$9)&gt;0,1,0)</f>
        <v>0</v>
      </c>
      <c r="Z160" s="221" t="str">
        <f>IF(Y160&gt;0,Y160*100+COUNTIF($Y$15:Y160,Y160),"")</f>
        <v/>
      </c>
      <c r="AA160" s="221" t="e">
        <f t="shared" si="6"/>
        <v>#NUM!</v>
      </c>
      <c r="AB160" s="226"/>
      <c r="AC160" s="226"/>
      <c r="AD160" s="226"/>
      <c r="AE160" s="226"/>
      <c r="AF160" s="226"/>
    </row>
    <row r="161" spans="1:32" x14ac:dyDescent="0.2">
      <c r="A161" s="221" t="str">
        <f>IF($D161="","",COUNTA($D$15:$D161))</f>
        <v/>
      </c>
      <c r="B161" s="235"/>
      <c r="C161" s="235"/>
      <c r="D161" s="235"/>
      <c r="E161" s="337"/>
      <c r="F161" s="337"/>
      <c r="G161" s="337"/>
      <c r="H161" s="338"/>
      <c r="I161" s="339" t="str">
        <f t="shared" si="7"/>
        <v/>
      </c>
      <c r="J161" s="236" t="str">
        <f ca="1">IFERROR(VLOOKUP($G161,INDIRECT("判定!"&amp;ADDRESS(ROW(判定!$N$2)+1,COLUMN(判定!$N$2)+MATCH($D161,判定!$N$2:$W$2,0)-1,4,1)&amp;":"&amp;ADDRESS(ROW(判定!$O$2)+4,COLUMN(判定!$N$2)+MATCH($D161,判定!$N$2:$W$2,0),4,1),1),2,1),"")</f>
        <v/>
      </c>
      <c r="K161" s="340"/>
      <c r="L161" s="341"/>
      <c r="M161" s="330"/>
      <c r="N161" s="330"/>
      <c r="O161" s="331"/>
      <c r="P161" s="237"/>
      <c r="Q161" s="234" t="str">
        <f>IF(COUNTIF(判定!$L$2:$L$9,$D161)&gt;0,$P161,"")</f>
        <v/>
      </c>
      <c r="R161" s="234" t="str">
        <f>IF(COUNTIF(判定!$L$10:$L$20,$D161)&gt;0,$P161,"")</f>
        <v/>
      </c>
      <c r="S161" s="234" t="str">
        <f>IF(COUNTIF(判定!$L$21,$D161)&gt;0,$P161,"")</f>
        <v/>
      </c>
      <c r="T161" s="341"/>
      <c r="V161" s="226"/>
      <c r="W161" s="221" t="str">
        <f>IF(OR($C161=判定!$K$2,$C161=判定!$K$3,$C161=判定!$K$4,$C161=判定!$K$5),"",IF(COUNTIF($C$15:$C161,$C161)=1,ROW(),""))</f>
        <v/>
      </c>
      <c r="X161" s="221">
        <f t="shared" si="5"/>
        <v>0</v>
      </c>
      <c r="Y161" s="221">
        <f>IF(COUNTIF($C:$C,$X161)&gt;0,1,0)+IF(OR(COUNTIFS($C:$C,$X161,$D:$D,判定!$L$2)&gt;0,COUNTIFS($C:$C,$X161,$D:$D,判定!$L$3)&gt;0,COUNTIFS($C:$C,$X161,$D:$D,判定!$L$4)&gt;0),1,0)+IF(COUNTIFS($C:$C,$X161,$D:$D,判定!$L$7)&gt;0,1,0)+IF(COUNTIFS($C:$C,$X161,$D:$D,判定!$L$8)&gt;0,1,0)+IF(COUNTIFS($C:$C,$X161,$D:$D,判定!$L$9)&gt;0,1,0)</f>
        <v>0</v>
      </c>
      <c r="Z161" s="221" t="str">
        <f>IF(Y161&gt;0,Y161*100+COUNTIF($Y$15:Y161,Y161),"")</f>
        <v/>
      </c>
      <c r="AA161" s="221" t="e">
        <f t="shared" si="6"/>
        <v>#NUM!</v>
      </c>
      <c r="AB161" s="226"/>
      <c r="AC161" s="226"/>
      <c r="AD161" s="226"/>
      <c r="AE161" s="226"/>
      <c r="AF161" s="226"/>
    </row>
    <row r="162" spans="1:32" x14ac:dyDescent="0.2">
      <c r="A162" s="221" t="str">
        <f>IF($D162="","",COUNTA($D$15:$D162))</f>
        <v/>
      </c>
      <c r="B162" s="235"/>
      <c r="C162" s="235"/>
      <c r="D162" s="235"/>
      <c r="E162" s="337"/>
      <c r="F162" s="337"/>
      <c r="G162" s="337"/>
      <c r="H162" s="338"/>
      <c r="I162" s="339" t="str">
        <f t="shared" si="7"/>
        <v/>
      </c>
      <c r="J162" s="236" t="str">
        <f ca="1">IFERROR(VLOOKUP($G162,INDIRECT("判定!"&amp;ADDRESS(ROW(判定!$N$2)+1,COLUMN(判定!$N$2)+MATCH($D162,判定!$N$2:$W$2,0)-1,4,1)&amp;":"&amp;ADDRESS(ROW(判定!$O$2)+4,COLUMN(判定!$N$2)+MATCH($D162,判定!$N$2:$W$2,0),4,1),1),2,1),"")</f>
        <v/>
      </c>
      <c r="K162" s="340"/>
      <c r="L162" s="341"/>
      <c r="M162" s="330"/>
      <c r="N162" s="330"/>
      <c r="O162" s="331"/>
      <c r="P162" s="237"/>
      <c r="Q162" s="234" t="str">
        <f>IF(COUNTIF(判定!$L$2:$L$9,$D162)&gt;0,$P162,"")</f>
        <v/>
      </c>
      <c r="R162" s="234" t="str">
        <f>IF(COUNTIF(判定!$L$10:$L$20,$D162)&gt;0,$P162,"")</f>
        <v/>
      </c>
      <c r="S162" s="234" t="str">
        <f>IF(COUNTIF(判定!$L$21,$D162)&gt;0,$P162,"")</f>
        <v/>
      </c>
      <c r="T162" s="341"/>
      <c r="V162" s="226"/>
      <c r="W162" s="221" t="str">
        <f>IF(OR($C162=判定!$K$2,$C162=判定!$K$3,$C162=判定!$K$4,$C162=判定!$K$5),"",IF(COUNTIF($C$15:$C162,$C162)=1,ROW(),""))</f>
        <v/>
      </c>
      <c r="X162" s="221">
        <f t="shared" si="5"/>
        <v>0</v>
      </c>
      <c r="Y162" s="221">
        <f>IF(COUNTIF($C:$C,$X162)&gt;0,1,0)+IF(OR(COUNTIFS($C:$C,$X162,$D:$D,判定!$L$2)&gt;0,COUNTIFS($C:$C,$X162,$D:$D,判定!$L$3)&gt;0,COUNTIFS($C:$C,$X162,$D:$D,判定!$L$4)&gt;0),1,0)+IF(COUNTIFS($C:$C,$X162,$D:$D,判定!$L$7)&gt;0,1,0)+IF(COUNTIFS($C:$C,$X162,$D:$D,判定!$L$8)&gt;0,1,0)+IF(COUNTIFS($C:$C,$X162,$D:$D,判定!$L$9)&gt;0,1,0)</f>
        <v>0</v>
      </c>
      <c r="Z162" s="221" t="str">
        <f>IF(Y162&gt;0,Y162*100+COUNTIF($Y$15:Y162,Y162),"")</f>
        <v/>
      </c>
      <c r="AA162" s="221" t="e">
        <f t="shared" si="6"/>
        <v>#NUM!</v>
      </c>
      <c r="AB162" s="226"/>
      <c r="AC162" s="226"/>
      <c r="AD162" s="226"/>
      <c r="AE162" s="226"/>
      <c r="AF162" s="226"/>
    </row>
    <row r="163" spans="1:32" x14ac:dyDescent="0.2">
      <c r="A163" s="221" t="str">
        <f>IF($D163="","",COUNTA($D$15:$D163))</f>
        <v/>
      </c>
      <c r="B163" s="235"/>
      <c r="C163" s="235"/>
      <c r="D163" s="235"/>
      <c r="E163" s="337"/>
      <c r="F163" s="337"/>
      <c r="G163" s="337"/>
      <c r="H163" s="338"/>
      <c r="I163" s="339" t="str">
        <f t="shared" si="7"/>
        <v/>
      </c>
      <c r="J163" s="236" t="str">
        <f ca="1">IFERROR(VLOOKUP($G163,INDIRECT("判定!"&amp;ADDRESS(ROW(判定!$N$2)+1,COLUMN(判定!$N$2)+MATCH($D163,判定!$N$2:$W$2,0)-1,4,1)&amp;":"&amp;ADDRESS(ROW(判定!$O$2)+4,COLUMN(判定!$N$2)+MATCH($D163,判定!$N$2:$W$2,0),4,1),1),2,1),"")</f>
        <v/>
      </c>
      <c r="K163" s="340"/>
      <c r="L163" s="341"/>
      <c r="M163" s="330"/>
      <c r="N163" s="330"/>
      <c r="O163" s="331"/>
      <c r="P163" s="237"/>
      <c r="Q163" s="234" t="str">
        <f>IF(COUNTIF(判定!$L$2:$L$9,$D163)&gt;0,$P163,"")</f>
        <v/>
      </c>
      <c r="R163" s="234" t="str">
        <f>IF(COUNTIF(判定!$L$10:$L$20,$D163)&gt;0,$P163,"")</f>
        <v/>
      </c>
      <c r="S163" s="234" t="str">
        <f>IF(COUNTIF(判定!$L$21,$D163)&gt;0,$P163,"")</f>
        <v/>
      </c>
      <c r="T163" s="341"/>
      <c r="V163" s="226"/>
      <c r="W163" s="221" t="str">
        <f>IF(OR($C163=判定!$K$2,$C163=判定!$K$3,$C163=判定!$K$4,$C163=判定!$K$5),"",IF(COUNTIF($C$15:$C163,$C163)=1,ROW(),""))</f>
        <v/>
      </c>
      <c r="X163" s="221">
        <f t="shared" si="5"/>
        <v>0</v>
      </c>
      <c r="Y163" s="221">
        <f>IF(COUNTIF($C:$C,$X163)&gt;0,1,0)+IF(OR(COUNTIFS($C:$C,$X163,$D:$D,判定!$L$2)&gt;0,COUNTIFS($C:$C,$X163,$D:$D,判定!$L$3)&gt;0,COUNTIFS($C:$C,$X163,$D:$D,判定!$L$4)&gt;0),1,0)+IF(COUNTIFS($C:$C,$X163,$D:$D,判定!$L$7)&gt;0,1,0)+IF(COUNTIFS($C:$C,$X163,$D:$D,判定!$L$8)&gt;0,1,0)+IF(COUNTIFS($C:$C,$X163,$D:$D,判定!$L$9)&gt;0,1,0)</f>
        <v>0</v>
      </c>
      <c r="Z163" s="221" t="str">
        <f>IF(Y163&gt;0,Y163*100+COUNTIF($Y$15:Y163,Y163),"")</f>
        <v/>
      </c>
      <c r="AA163" s="221" t="e">
        <f t="shared" si="6"/>
        <v>#NUM!</v>
      </c>
      <c r="AB163" s="226"/>
      <c r="AC163" s="226"/>
      <c r="AD163" s="226"/>
      <c r="AE163" s="226"/>
      <c r="AF163" s="226"/>
    </row>
    <row r="164" spans="1:32" x14ac:dyDescent="0.2">
      <c r="A164" s="221" t="str">
        <f>IF($D164="","",COUNTA($D$15:$D164))</f>
        <v/>
      </c>
      <c r="B164" s="235"/>
      <c r="C164" s="235"/>
      <c r="D164" s="235"/>
      <c r="E164" s="337"/>
      <c r="F164" s="337"/>
      <c r="G164" s="337"/>
      <c r="H164" s="338"/>
      <c r="I164" s="339" t="str">
        <f t="shared" si="7"/>
        <v/>
      </c>
      <c r="J164" s="236" t="str">
        <f ca="1">IFERROR(VLOOKUP($G164,INDIRECT("判定!"&amp;ADDRESS(ROW(判定!$N$2)+1,COLUMN(判定!$N$2)+MATCH($D164,判定!$N$2:$W$2,0)-1,4,1)&amp;":"&amp;ADDRESS(ROW(判定!$O$2)+4,COLUMN(判定!$N$2)+MATCH($D164,判定!$N$2:$W$2,0),4,1),1),2,1),"")</f>
        <v/>
      </c>
      <c r="K164" s="340"/>
      <c r="L164" s="341"/>
      <c r="M164" s="330"/>
      <c r="N164" s="330"/>
      <c r="O164" s="331"/>
      <c r="P164" s="237"/>
      <c r="Q164" s="234" t="str">
        <f>IF(COUNTIF(判定!$L$2:$L$9,$D164)&gt;0,$P164,"")</f>
        <v/>
      </c>
      <c r="R164" s="234" t="str">
        <f>IF(COUNTIF(判定!$L$10:$L$20,$D164)&gt;0,$P164,"")</f>
        <v/>
      </c>
      <c r="S164" s="234" t="str">
        <f>IF(COUNTIF(判定!$L$21,$D164)&gt;0,$P164,"")</f>
        <v/>
      </c>
      <c r="T164" s="341"/>
      <c r="V164" s="226"/>
      <c r="W164" s="221" t="str">
        <f>IF(OR($C164=判定!$K$2,$C164=判定!$K$3,$C164=判定!$K$4,$C164=判定!$K$5),"",IF(COUNTIF($C$15:$C164,$C164)=1,ROW(),""))</f>
        <v/>
      </c>
      <c r="X164" s="221">
        <f t="shared" si="5"/>
        <v>0</v>
      </c>
      <c r="Y164" s="221">
        <f>IF(COUNTIF($C:$C,$X164)&gt;0,1,0)+IF(OR(COUNTIFS($C:$C,$X164,$D:$D,判定!$L$2)&gt;0,COUNTIFS($C:$C,$X164,$D:$D,判定!$L$3)&gt;0,COUNTIFS($C:$C,$X164,$D:$D,判定!$L$4)&gt;0),1,0)+IF(COUNTIFS($C:$C,$X164,$D:$D,判定!$L$7)&gt;0,1,0)+IF(COUNTIFS($C:$C,$X164,$D:$D,判定!$L$8)&gt;0,1,0)+IF(COUNTIFS($C:$C,$X164,$D:$D,判定!$L$9)&gt;0,1,0)</f>
        <v>0</v>
      </c>
      <c r="Z164" s="221" t="str">
        <f>IF(Y164&gt;0,Y164*100+COUNTIF($Y$15:Y164,Y164),"")</f>
        <v/>
      </c>
      <c r="AA164" s="221" t="e">
        <f t="shared" si="6"/>
        <v>#NUM!</v>
      </c>
      <c r="AB164" s="226"/>
      <c r="AC164" s="226"/>
      <c r="AD164" s="226"/>
      <c r="AE164" s="226"/>
      <c r="AF164" s="226"/>
    </row>
    <row r="165" spans="1:32" x14ac:dyDescent="0.2">
      <c r="A165" s="221" t="str">
        <f>IF($D165="","",COUNTA($D$15:$D165))</f>
        <v/>
      </c>
      <c r="B165" s="235"/>
      <c r="C165" s="235"/>
      <c r="D165" s="235"/>
      <c r="E165" s="337"/>
      <c r="F165" s="337"/>
      <c r="G165" s="337"/>
      <c r="H165" s="338"/>
      <c r="I165" s="339" t="str">
        <f t="shared" si="7"/>
        <v/>
      </c>
      <c r="J165" s="236" t="str">
        <f ca="1">IFERROR(VLOOKUP($G165,INDIRECT("判定!"&amp;ADDRESS(ROW(判定!$N$2)+1,COLUMN(判定!$N$2)+MATCH($D165,判定!$N$2:$W$2,0)-1,4,1)&amp;":"&amp;ADDRESS(ROW(判定!$O$2)+4,COLUMN(判定!$N$2)+MATCH($D165,判定!$N$2:$W$2,0),4,1),1),2,1),"")</f>
        <v/>
      </c>
      <c r="K165" s="340"/>
      <c r="L165" s="341"/>
      <c r="M165" s="330"/>
      <c r="N165" s="330"/>
      <c r="O165" s="331"/>
      <c r="P165" s="237"/>
      <c r="Q165" s="234" t="str">
        <f>IF(COUNTIF(判定!$L$2:$L$9,$D165)&gt;0,$P165,"")</f>
        <v/>
      </c>
      <c r="R165" s="234" t="str">
        <f>IF(COUNTIF(判定!$L$10:$L$20,$D165)&gt;0,$P165,"")</f>
        <v/>
      </c>
      <c r="S165" s="234" t="str">
        <f>IF(COUNTIF(判定!$L$21,$D165)&gt;0,$P165,"")</f>
        <v/>
      </c>
      <c r="T165" s="341"/>
      <c r="V165" s="226"/>
      <c r="W165" s="221" t="str">
        <f>IF(OR($C165=判定!$K$2,$C165=判定!$K$3,$C165=判定!$K$4,$C165=判定!$K$5),"",IF(COUNTIF($C$15:$C165,$C165)=1,ROW(),""))</f>
        <v/>
      </c>
      <c r="X165" s="221">
        <f t="shared" si="5"/>
        <v>0</v>
      </c>
      <c r="Y165" s="221">
        <f>IF(COUNTIF($C:$C,$X165)&gt;0,1,0)+IF(OR(COUNTIFS($C:$C,$X165,$D:$D,判定!$L$2)&gt;0,COUNTIFS($C:$C,$X165,$D:$D,判定!$L$3)&gt;0,COUNTIFS($C:$C,$X165,$D:$D,判定!$L$4)&gt;0),1,0)+IF(COUNTIFS($C:$C,$X165,$D:$D,判定!$L$7)&gt;0,1,0)+IF(COUNTIFS($C:$C,$X165,$D:$D,判定!$L$8)&gt;0,1,0)+IF(COUNTIFS($C:$C,$X165,$D:$D,判定!$L$9)&gt;0,1,0)</f>
        <v>0</v>
      </c>
      <c r="Z165" s="221" t="str">
        <f>IF(Y165&gt;0,Y165*100+COUNTIF($Y$15:Y165,Y165),"")</f>
        <v/>
      </c>
      <c r="AA165" s="221" t="e">
        <f t="shared" si="6"/>
        <v>#NUM!</v>
      </c>
      <c r="AB165" s="226"/>
      <c r="AC165" s="226"/>
      <c r="AD165" s="226"/>
      <c r="AE165" s="226"/>
      <c r="AF165" s="226"/>
    </row>
    <row r="166" spans="1:32" x14ac:dyDescent="0.2">
      <c r="A166" s="221" t="str">
        <f>IF($D166="","",COUNTA($D$15:$D166))</f>
        <v/>
      </c>
      <c r="B166" s="235"/>
      <c r="C166" s="235"/>
      <c r="D166" s="235"/>
      <c r="E166" s="337"/>
      <c r="F166" s="337"/>
      <c r="G166" s="337"/>
      <c r="H166" s="338"/>
      <c r="I166" s="339" t="str">
        <f t="shared" si="7"/>
        <v/>
      </c>
      <c r="J166" s="236" t="str">
        <f ca="1">IFERROR(VLOOKUP($G166,INDIRECT("判定!"&amp;ADDRESS(ROW(判定!$N$2)+1,COLUMN(判定!$N$2)+MATCH($D166,判定!$N$2:$W$2,0)-1,4,1)&amp;":"&amp;ADDRESS(ROW(判定!$O$2)+4,COLUMN(判定!$N$2)+MATCH($D166,判定!$N$2:$W$2,0),4,1),1),2,1),"")</f>
        <v/>
      </c>
      <c r="K166" s="340"/>
      <c r="L166" s="341"/>
      <c r="M166" s="330"/>
      <c r="N166" s="330"/>
      <c r="O166" s="331"/>
      <c r="P166" s="237"/>
      <c r="Q166" s="234" t="str">
        <f>IF(COUNTIF(判定!$L$2:$L$9,$D166)&gt;0,$P166,"")</f>
        <v/>
      </c>
      <c r="R166" s="234" t="str">
        <f>IF(COUNTIF(判定!$L$10:$L$20,$D166)&gt;0,$P166,"")</f>
        <v/>
      </c>
      <c r="S166" s="234" t="str">
        <f>IF(COUNTIF(判定!$L$21,$D166)&gt;0,$P166,"")</f>
        <v/>
      </c>
      <c r="T166" s="341"/>
      <c r="V166" s="226"/>
      <c r="W166" s="221" t="str">
        <f>IF(OR($C166=判定!$K$2,$C166=判定!$K$3,$C166=判定!$K$4,$C166=判定!$K$5),"",IF(COUNTIF($C$15:$C166,$C166)=1,ROW(),""))</f>
        <v/>
      </c>
      <c r="X166" s="221">
        <f t="shared" si="5"/>
        <v>0</v>
      </c>
      <c r="Y166" s="221">
        <f>IF(COUNTIF($C:$C,$X166)&gt;0,1,0)+IF(OR(COUNTIFS($C:$C,$X166,$D:$D,判定!$L$2)&gt;0,COUNTIFS($C:$C,$X166,$D:$D,判定!$L$3)&gt;0,COUNTIFS($C:$C,$X166,$D:$D,判定!$L$4)&gt;0),1,0)+IF(COUNTIFS($C:$C,$X166,$D:$D,判定!$L$7)&gt;0,1,0)+IF(COUNTIFS($C:$C,$X166,$D:$D,判定!$L$8)&gt;0,1,0)+IF(COUNTIFS($C:$C,$X166,$D:$D,判定!$L$9)&gt;0,1,0)</f>
        <v>0</v>
      </c>
      <c r="Z166" s="221" t="str">
        <f>IF(Y166&gt;0,Y166*100+COUNTIF($Y$15:Y166,Y166),"")</f>
        <v/>
      </c>
      <c r="AA166" s="221" t="e">
        <f t="shared" si="6"/>
        <v>#NUM!</v>
      </c>
      <c r="AB166" s="226"/>
      <c r="AC166" s="226"/>
      <c r="AD166" s="226"/>
      <c r="AE166" s="226"/>
      <c r="AF166" s="226"/>
    </row>
    <row r="167" spans="1:32" x14ac:dyDescent="0.2">
      <c r="A167" s="221" t="str">
        <f>IF($D167="","",COUNTA($D$15:$D167))</f>
        <v/>
      </c>
      <c r="B167" s="235"/>
      <c r="C167" s="235"/>
      <c r="D167" s="235"/>
      <c r="E167" s="337"/>
      <c r="F167" s="337"/>
      <c r="G167" s="337"/>
      <c r="H167" s="338"/>
      <c r="I167" s="339" t="str">
        <f t="shared" si="7"/>
        <v/>
      </c>
      <c r="J167" s="236" t="str">
        <f ca="1">IFERROR(VLOOKUP($G167,INDIRECT("判定!"&amp;ADDRESS(ROW(判定!$N$2)+1,COLUMN(判定!$N$2)+MATCH($D167,判定!$N$2:$W$2,0)-1,4,1)&amp;":"&amp;ADDRESS(ROW(判定!$O$2)+4,COLUMN(判定!$N$2)+MATCH($D167,判定!$N$2:$W$2,0),4,1),1),2,1),"")</f>
        <v/>
      </c>
      <c r="K167" s="340"/>
      <c r="L167" s="341"/>
      <c r="M167" s="330"/>
      <c r="N167" s="330"/>
      <c r="O167" s="331"/>
      <c r="P167" s="237"/>
      <c r="Q167" s="234" t="str">
        <f>IF(COUNTIF(判定!$L$2:$L$9,$D167)&gt;0,$P167,"")</f>
        <v/>
      </c>
      <c r="R167" s="234" t="str">
        <f>IF(COUNTIF(判定!$L$10:$L$20,$D167)&gt;0,$P167,"")</f>
        <v/>
      </c>
      <c r="S167" s="234" t="str">
        <f>IF(COUNTIF(判定!$L$21,$D167)&gt;0,$P167,"")</f>
        <v/>
      </c>
      <c r="T167" s="341"/>
      <c r="V167" s="226"/>
      <c r="W167" s="221" t="str">
        <f>IF(OR($C167=判定!$K$2,$C167=判定!$K$3,$C167=判定!$K$4,$C167=判定!$K$5),"",IF(COUNTIF($C$15:$C167,$C167)=1,ROW(),""))</f>
        <v/>
      </c>
      <c r="X167" s="221">
        <f t="shared" si="5"/>
        <v>0</v>
      </c>
      <c r="Y167" s="221">
        <f>IF(COUNTIF($C:$C,$X167)&gt;0,1,0)+IF(OR(COUNTIFS($C:$C,$X167,$D:$D,判定!$L$2)&gt;0,COUNTIFS($C:$C,$X167,$D:$D,判定!$L$3)&gt;0,COUNTIFS($C:$C,$X167,$D:$D,判定!$L$4)&gt;0),1,0)+IF(COUNTIFS($C:$C,$X167,$D:$D,判定!$L$7)&gt;0,1,0)+IF(COUNTIFS($C:$C,$X167,$D:$D,判定!$L$8)&gt;0,1,0)+IF(COUNTIFS($C:$C,$X167,$D:$D,判定!$L$9)&gt;0,1,0)</f>
        <v>0</v>
      </c>
      <c r="Z167" s="221" t="str">
        <f>IF(Y167&gt;0,Y167*100+COUNTIF($Y$15:Y167,Y167),"")</f>
        <v/>
      </c>
      <c r="AA167" s="221" t="e">
        <f t="shared" si="6"/>
        <v>#NUM!</v>
      </c>
      <c r="AB167" s="226"/>
      <c r="AC167" s="226"/>
      <c r="AD167" s="226"/>
      <c r="AE167" s="226"/>
      <c r="AF167" s="226"/>
    </row>
    <row r="168" spans="1:32" s="239" customFormat="1" x14ac:dyDescent="0.2">
      <c r="A168" s="221" t="str">
        <f>IF($D168="","",COUNTA($D$15:$D168))</f>
        <v/>
      </c>
      <c r="B168" s="238"/>
      <c r="C168" s="238"/>
      <c r="D168" s="238"/>
      <c r="E168" s="337"/>
      <c r="F168" s="337"/>
      <c r="G168" s="337"/>
      <c r="H168" s="338"/>
      <c r="I168" s="339" t="str">
        <f t="shared" si="7"/>
        <v/>
      </c>
      <c r="J168" s="236" t="str">
        <f ca="1">IFERROR(VLOOKUP($G168,INDIRECT("判定!"&amp;ADDRESS(ROW(判定!$N$2)+1,COLUMN(判定!$N$2)+MATCH($D168,判定!$N$2:$W$2,0)-1,4,1)&amp;":"&amp;ADDRESS(ROW(判定!$O$2)+4,COLUMN(判定!$N$2)+MATCH($D168,判定!$N$2:$W$2,0),4,1),1),2,1),"")</f>
        <v/>
      </c>
      <c r="K168" s="342"/>
      <c r="L168" s="343"/>
      <c r="M168" s="332"/>
      <c r="N168" s="332"/>
      <c r="O168" s="333"/>
      <c r="P168" s="237"/>
      <c r="Q168" s="234" t="str">
        <f>IF(COUNTIF(判定!$L$2:$L$9,$D168)&gt;0,$P168,"")</f>
        <v/>
      </c>
      <c r="R168" s="234" t="str">
        <f>IF(COUNTIF(判定!$L$10:$L$20,$D168)&gt;0,$P168,"")</f>
        <v/>
      </c>
      <c r="S168" s="234" t="str">
        <f>IF(COUNTIF(判定!$L$21,$D168)&gt;0,$P168,"")</f>
        <v/>
      </c>
      <c r="T168" s="343"/>
      <c r="V168" s="240"/>
      <c r="W168" s="221" t="str">
        <f>IF(OR($C168=判定!$K$2,$C168=判定!$K$3,$C168=判定!$K$4,$C168=判定!$K$5),"",IF(COUNTIF($C$15:$C168,$C168)=1,ROW(),""))</f>
        <v/>
      </c>
      <c r="X168" s="221">
        <f t="shared" si="5"/>
        <v>0</v>
      </c>
      <c r="Y168" s="221">
        <f>IF(COUNTIF($C:$C,$X168)&gt;0,1,0)+IF(OR(COUNTIFS($C:$C,$X168,$D:$D,判定!$L$2)&gt;0,COUNTIFS($C:$C,$X168,$D:$D,判定!$L$3)&gt;0,COUNTIFS($C:$C,$X168,$D:$D,判定!$L$4)&gt;0),1,0)+IF(COUNTIFS($C:$C,$X168,$D:$D,判定!$L$7)&gt;0,1,0)+IF(COUNTIFS($C:$C,$X168,$D:$D,判定!$L$8)&gt;0,1,0)+IF(COUNTIFS($C:$C,$X168,$D:$D,判定!$L$9)&gt;0,1,0)</f>
        <v>0</v>
      </c>
      <c r="Z168" s="221" t="str">
        <f>IF(Y168&gt;0,Y168*100+COUNTIF($Y$15:Y168,Y168),"")</f>
        <v/>
      </c>
      <c r="AA168" s="221" t="e">
        <f t="shared" si="6"/>
        <v>#NUM!</v>
      </c>
      <c r="AB168" s="240"/>
      <c r="AC168" s="240"/>
      <c r="AD168" s="240"/>
      <c r="AE168" s="240"/>
      <c r="AF168" s="240"/>
    </row>
    <row r="169" spans="1:32" x14ac:dyDescent="0.2">
      <c r="A169" s="221" t="str">
        <f>IF($D169="","",COUNTA($D$15:$D169))</f>
        <v/>
      </c>
      <c r="B169" s="235"/>
      <c r="C169" s="235"/>
      <c r="D169" s="235"/>
      <c r="E169" s="337"/>
      <c r="F169" s="337"/>
      <c r="G169" s="337"/>
      <c r="H169" s="338"/>
      <c r="I169" s="339" t="str">
        <f t="shared" si="7"/>
        <v/>
      </c>
      <c r="J169" s="236" t="str">
        <f ca="1">IFERROR(VLOOKUP($G169,INDIRECT("判定!"&amp;ADDRESS(ROW(判定!$N$2)+1,COLUMN(判定!$N$2)+MATCH($D169,判定!$N$2:$W$2,0)-1,4,1)&amp;":"&amp;ADDRESS(ROW(判定!$O$2)+4,COLUMN(判定!$N$2)+MATCH($D169,判定!$N$2:$W$2,0),4,1),1),2,1),"")</f>
        <v/>
      </c>
      <c r="K169" s="340"/>
      <c r="L169" s="341"/>
      <c r="M169" s="330"/>
      <c r="N169" s="330"/>
      <c r="O169" s="331"/>
      <c r="P169" s="237"/>
      <c r="Q169" s="234" t="str">
        <f>IF(COUNTIF(判定!$L$2:$L$9,$D169)&gt;0,$P169,"")</f>
        <v/>
      </c>
      <c r="R169" s="234" t="str">
        <f>IF(COUNTIF(判定!$L$10:$L$20,$D169)&gt;0,$P169,"")</f>
        <v/>
      </c>
      <c r="S169" s="234" t="str">
        <f>IF(COUNTIF(判定!$L$21,$D169)&gt;0,$P169,"")</f>
        <v/>
      </c>
      <c r="T169" s="341"/>
      <c r="V169" s="226"/>
      <c r="W169" s="221" t="str">
        <f>IF(OR($C169=判定!$K$2,$C169=判定!$K$3,$C169=判定!$K$4,$C169=判定!$K$5),"",IF(COUNTIF($C$15:$C169,$C169)=1,ROW(),""))</f>
        <v/>
      </c>
      <c r="X169" s="221">
        <f t="shared" si="5"/>
        <v>0</v>
      </c>
      <c r="Y169" s="221">
        <f>IF(COUNTIF($C:$C,$X169)&gt;0,1,0)+IF(OR(COUNTIFS($C:$C,$X169,$D:$D,判定!$L$2)&gt;0,COUNTIFS($C:$C,$X169,$D:$D,判定!$L$3)&gt;0,COUNTIFS($C:$C,$X169,$D:$D,判定!$L$4)&gt;0),1,0)+IF(COUNTIFS($C:$C,$X169,$D:$D,判定!$L$7)&gt;0,1,0)+IF(COUNTIFS($C:$C,$X169,$D:$D,判定!$L$8)&gt;0,1,0)+IF(COUNTIFS($C:$C,$X169,$D:$D,判定!$L$9)&gt;0,1,0)</f>
        <v>0</v>
      </c>
      <c r="Z169" s="221" t="str">
        <f>IF(Y169&gt;0,Y169*100+COUNTIF($Y$15:Y169,Y169),"")</f>
        <v/>
      </c>
      <c r="AA169" s="221" t="e">
        <f t="shared" si="6"/>
        <v>#NUM!</v>
      </c>
      <c r="AB169" s="226"/>
      <c r="AC169" s="226"/>
      <c r="AD169" s="226"/>
      <c r="AE169" s="226"/>
      <c r="AF169" s="226"/>
    </row>
    <row r="170" spans="1:32" x14ac:dyDescent="0.2">
      <c r="A170" s="221" t="str">
        <f>IF($D170="","",COUNTA($D$15:$D170))</f>
        <v/>
      </c>
      <c r="B170" s="235"/>
      <c r="C170" s="235"/>
      <c r="D170" s="235"/>
      <c r="E170" s="337"/>
      <c r="F170" s="337"/>
      <c r="G170" s="337"/>
      <c r="H170" s="338"/>
      <c r="I170" s="339" t="str">
        <f t="shared" si="7"/>
        <v/>
      </c>
      <c r="J170" s="236" t="str">
        <f ca="1">IFERROR(VLOOKUP($G170,INDIRECT("判定!"&amp;ADDRESS(ROW(判定!$N$2)+1,COLUMN(判定!$N$2)+MATCH($D170,判定!$N$2:$W$2,0)-1,4,1)&amp;":"&amp;ADDRESS(ROW(判定!$O$2)+4,COLUMN(判定!$N$2)+MATCH($D170,判定!$N$2:$W$2,0),4,1),1),2,1),"")</f>
        <v/>
      </c>
      <c r="K170" s="340"/>
      <c r="L170" s="341"/>
      <c r="M170" s="330"/>
      <c r="N170" s="330"/>
      <c r="O170" s="331"/>
      <c r="P170" s="237"/>
      <c r="Q170" s="234" t="str">
        <f>IF(COUNTIF(判定!$L$2:$L$9,$D170)&gt;0,$P170,"")</f>
        <v/>
      </c>
      <c r="R170" s="234" t="str">
        <f>IF(COUNTIF(判定!$L$10:$L$20,$D170)&gt;0,$P170,"")</f>
        <v/>
      </c>
      <c r="S170" s="234" t="str">
        <f>IF(COUNTIF(判定!$L$21,$D170)&gt;0,$P170,"")</f>
        <v/>
      </c>
      <c r="T170" s="341"/>
      <c r="V170" s="226"/>
      <c r="W170" s="221" t="str">
        <f>IF(OR($C170=判定!$K$2,$C170=判定!$K$3,$C170=判定!$K$4,$C170=判定!$K$5),"",IF(COUNTIF($C$15:$C170,$C170)=1,ROW(),""))</f>
        <v/>
      </c>
      <c r="X170" s="221">
        <f t="shared" si="5"/>
        <v>0</v>
      </c>
      <c r="Y170" s="221">
        <f>IF(COUNTIF($C:$C,$X170)&gt;0,1,0)+IF(OR(COUNTIFS($C:$C,$X170,$D:$D,判定!$L$2)&gt;0,COUNTIFS($C:$C,$X170,$D:$D,判定!$L$3)&gt;0,COUNTIFS($C:$C,$X170,$D:$D,判定!$L$4)&gt;0),1,0)+IF(COUNTIFS($C:$C,$X170,$D:$D,判定!$L$7)&gt;0,1,0)+IF(COUNTIFS($C:$C,$X170,$D:$D,判定!$L$8)&gt;0,1,0)+IF(COUNTIFS($C:$C,$X170,$D:$D,判定!$L$9)&gt;0,1,0)</f>
        <v>0</v>
      </c>
      <c r="Z170" s="221" t="str">
        <f>IF(Y170&gt;0,Y170*100+COUNTIF($Y$15:Y170,Y170),"")</f>
        <v/>
      </c>
      <c r="AA170" s="221" t="e">
        <f t="shared" si="6"/>
        <v>#NUM!</v>
      </c>
      <c r="AB170" s="226"/>
      <c r="AC170" s="226"/>
      <c r="AD170" s="226"/>
      <c r="AE170" s="226"/>
      <c r="AF170" s="226"/>
    </row>
    <row r="171" spans="1:32" x14ac:dyDescent="0.2">
      <c r="A171" s="221" t="str">
        <f>IF($D171="","",COUNTA($D$15:$D171))</f>
        <v/>
      </c>
      <c r="B171" s="235"/>
      <c r="C171" s="235"/>
      <c r="D171" s="235"/>
      <c r="E171" s="337"/>
      <c r="F171" s="337"/>
      <c r="G171" s="337"/>
      <c r="H171" s="338"/>
      <c r="I171" s="339" t="str">
        <f t="shared" si="7"/>
        <v/>
      </c>
      <c r="J171" s="236" t="str">
        <f ca="1">IFERROR(VLOOKUP($G171,INDIRECT("判定!"&amp;ADDRESS(ROW(判定!$N$2)+1,COLUMN(判定!$N$2)+MATCH($D171,判定!$N$2:$W$2,0)-1,4,1)&amp;":"&amp;ADDRESS(ROW(判定!$O$2)+4,COLUMN(判定!$N$2)+MATCH($D171,判定!$N$2:$W$2,0),4,1),1),2,1),"")</f>
        <v/>
      </c>
      <c r="K171" s="340"/>
      <c r="L171" s="341"/>
      <c r="M171" s="330"/>
      <c r="N171" s="330"/>
      <c r="O171" s="331"/>
      <c r="P171" s="237"/>
      <c r="Q171" s="234" t="str">
        <f>IF(COUNTIF(判定!$L$2:$L$9,$D171)&gt;0,$P171,"")</f>
        <v/>
      </c>
      <c r="R171" s="234" t="str">
        <f>IF(COUNTIF(判定!$L$10:$L$20,$D171)&gt;0,$P171,"")</f>
        <v/>
      </c>
      <c r="S171" s="234" t="str">
        <f>IF(COUNTIF(判定!$L$21,$D171)&gt;0,$P171,"")</f>
        <v/>
      </c>
      <c r="T171" s="341"/>
      <c r="V171" s="226"/>
      <c r="W171" s="221" t="str">
        <f>IF(OR($C171=判定!$K$2,$C171=判定!$K$3,$C171=判定!$K$4,$C171=判定!$K$5),"",IF(COUNTIF($C$15:$C171,$C171)=1,ROW(),""))</f>
        <v/>
      </c>
      <c r="X171" s="221">
        <f t="shared" si="5"/>
        <v>0</v>
      </c>
      <c r="Y171" s="221">
        <f>IF(COUNTIF($C:$C,$X171)&gt;0,1,0)+IF(OR(COUNTIFS($C:$C,$X171,$D:$D,判定!$L$2)&gt;0,COUNTIFS($C:$C,$X171,$D:$D,判定!$L$3)&gt;0,COUNTIFS($C:$C,$X171,$D:$D,判定!$L$4)&gt;0),1,0)+IF(COUNTIFS($C:$C,$X171,$D:$D,判定!$L$7)&gt;0,1,0)+IF(COUNTIFS($C:$C,$X171,$D:$D,判定!$L$8)&gt;0,1,0)+IF(COUNTIFS($C:$C,$X171,$D:$D,判定!$L$9)&gt;0,1,0)</f>
        <v>0</v>
      </c>
      <c r="Z171" s="221" t="str">
        <f>IF(Y171&gt;0,Y171*100+COUNTIF($Y$15:Y171,Y171),"")</f>
        <v/>
      </c>
      <c r="AA171" s="221" t="e">
        <f t="shared" si="6"/>
        <v>#NUM!</v>
      </c>
      <c r="AB171" s="226"/>
      <c r="AC171" s="226"/>
      <c r="AD171" s="226"/>
      <c r="AE171" s="226"/>
      <c r="AF171" s="226"/>
    </row>
    <row r="172" spans="1:32" x14ac:dyDescent="0.2">
      <c r="A172" s="221" t="str">
        <f>IF($D172="","",COUNTA($D$15:$D172))</f>
        <v/>
      </c>
      <c r="B172" s="235"/>
      <c r="C172" s="235"/>
      <c r="D172" s="235"/>
      <c r="E172" s="337"/>
      <c r="F172" s="337"/>
      <c r="G172" s="337"/>
      <c r="H172" s="338"/>
      <c r="I172" s="339" t="str">
        <f t="shared" si="7"/>
        <v/>
      </c>
      <c r="J172" s="236" t="str">
        <f ca="1">IFERROR(VLOOKUP($G172,INDIRECT("判定!"&amp;ADDRESS(ROW(判定!$N$2)+1,COLUMN(判定!$N$2)+MATCH($D172,判定!$N$2:$W$2,0)-1,4,1)&amp;":"&amp;ADDRESS(ROW(判定!$O$2)+4,COLUMN(判定!$N$2)+MATCH($D172,判定!$N$2:$W$2,0),4,1),1),2,1),"")</f>
        <v/>
      </c>
      <c r="K172" s="340"/>
      <c r="L172" s="341"/>
      <c r="M172" s="330"/>
      <c r="N172" s="330"/>
      <c r="O172" s="331"/>
      <c r="P172" s="237"/>
      <c r="Q172" s="234" t="str">
        <f>IF(COUNTIF(判定!$L$2:$L$9,$D172)&gt;0,$P172,"")</f>
        <v/>
      </c>
      <c r="R172" s="234" t="str">
        <f>IF(COUNTIF(判定!$L$10:$L$20,$D172)&gt;0,$P172,"")</f>
        <v/>
      </c>
      <c r="S172" s="234" t="str">
        <f>IF(COUNTIF(判定!$L$21,$D172)&gt;0,$P172,"")</f>
        <v/>
      </c>
      <c r="T172" s="341"/>
      <c r="V172" s="226"/>
      <c r="W172" s="221" t="str">
        <f>IF(OR($C172=判定!$K$2,$C172=判定!$K$3,$C172=判定!$K$4,$C172=判定!$K$5),"",IF(COUNTIF($C$15:$C172,$C172)=1,ROW(),""))</f>
        <v/>
      </c>
      <c r="X172" s="221">
        <f t="shared" si="5"/>
        <v>0</v>
      </c>
      <c r="Y172" s="221">
        <f>IF(COUNTIF($C:$C,$X172)&gt;0,1,0)+IF(OR(COUNTIFS($C:$C,$X172,$D:$D,判定!$L$2)&gt;0,COUNTIFS($C:$C,$X172,$D:$D,判定!$L$3)&gt;0,COUNTIFS($C:$C,$X172,$D:$D,判定!$L$4)&gt;0),1,0)+IF(COUNTIFS($C:$C,$X172,$D:$D,判定!$L$7)&gt;0,1,0)+IF(COUNTIFS($C:$C,$X172,$D:$D,判定!$L$8)&gt;0,1,0)+IF(COUNTIFS($C:$C,$X172,$D:$D,判定!$L$9)&gt;0,1,0)</f>
        <v>0</v>
      </c>
      <c r="Z172" s="221" t="str">
        <f>IF(Y172&gt;0,Y172*100+COUNTIF($Y$15:Y172,Y172),"")</f>
        <v/>
      </c>
      <c r="AA172" s="221" t="e">
        <f t="shared" si="6"/>
        <v>#NUM!</v>
      </c>
      <c r="AB172" s="226"/>
      <c r="AC172" s="226"/>
      <c r="AD172" s="226"/>
      <c r="AE172" s="226"/>
      <c r="AF172" s="226"/>
    </row>
    <row r="173" spans="1:32" x14ac:dyDescent="0.2">
      <c r="A173" s="221" t="str">
        <f>IF($D173="","",COUNTA($D$15:$D173))</f>
        <v/>
      </c>
      <c r="B173" s="235"/>
      <c r="C173" s="235"/>
      <c r="D173" s="235"/>
      <c r="E173" s="337"/>
      <c r="F173" s="337"/>
      <c r="G173" s="337"/>
      <c r="H173" s="338"/>
      <c r="I173" s="339" t="str">
        <f t="shared" si="7"/>
        <v/>
      </c>
      <c r="J173" s="236" t="str">
        <f ca="1">IFERROR(VLOOKUP($G173,INDIRECT("判定!"&amp;ADDRESS(ROW(判定!$N$2)+1,COLUMN(判定!$N$2)+MATCH($D173,判定!$N$2:$W$2,0)-1,4,1)&amp;":"&amp;ADDRESS(ROW(判定!$O$2)+4,COLUMN(判定!$N$2)+MATCH($D173,判定!$N$2:$W$2,0),4,1),1),2,1),"")</f>
        <v/>
      </c>
      <c r="K173" s="340"/>
      <c r="L173" s="341"/>
      <c r="M173" s="330"/>
      <c r="N173" s="330"/>
      <c r="O173" s="331"/>
      <c r="P173" s="237"/>
      <c r="Q173" s="234" t="str">
        <f>IF(COUNTIF(判定!$L$2:$L$9,$D173)&gt;0,$P173,"")</f>
        <v/>
      </c>
      <c r="R173" s="234" t="str">
        <f>IF(COUNTIF(判定!$L$10:$L$20,$D173)&gt;0,$P173,"")</f>
        <v/>
      </c>
      <c r="S173" s="234" t="str">
        <f>IF(COUNTIF(判定!$L$21,$D173)&gt;0,$P173,"")</f>
        <v/>
      </c>
      <c r="T173" s="341"/>
      <c r="V173" s="226"/>
      <c r="W173" s="221" t="str">
        <f>IF(OR($C173=判定!$K$2,$C173=判定!$K$3,$C173=判定!$K$4,$C173=判定!$K$5),"",IF(COUNTIF($C$15:$C173,$C173)=1,ROW(),""))</f>
        <v/>
      </c>
      <c r="X173" s="221">
        <f t="shared" si="5"/>
        <v>0</v>
      </c>
      <c r="Y173" s="221">
        <f>IF(COUNTIF($C:$C,$X173)&gt;0,1,0)+IF(OR(COUNTIFS($C:$C,$X173,$D:$D,判定!$L$2)&gt;0,COUNTIFS($C:$C,$X173,$D:$D,判定!$L$3)&gt;0,COUNTIFS($C:$C,$X173,$D:$D,判定!$L$4)&gt;0),1,0)+IF(COUNTIFS($C:$C,$X173,$D:$D,判定!$L$7)&gt;0,1,0)+IF(COUNTIFS($C:$C,$X173,$D:$D,判定!$L$8)&gt;0,1,0)+IF(COUNTIFS($C:$C,$X173,$D:$D,判定!$L$9)&gt;0,1,0)</f>
        <v>0</v>
      </c>
      <c r="Z173" s="221" t="str">
        <f>IF(Y173&gt;0,Y173*100+COUNTIF($Y$15:Y173,Y173),"")</f>
        <v/>
      </c>
      <c r="AA173" s="221" t="e">
        <f t="shared" si="6"/>
        <v>#NUM!</v>
      </c>
      <c r="AB173" s="226"/>
      <c r="AC173" s="226"/>
      <c r="AD173" s="226"/>
      <c r="AE173" s="226"/>
      <c r="AF173" s="226"/>
    </row>
    <row r="174" spans="1:32" x14ac:dyDescent="0.2">
      <c r="A174" s="221" t="str">
        <f>IF($D174="","",COUNTA($D$15:$D174))</f>
        <v/>
      </c>
      <c r="B174" s="235"/>
      <c r="C174" s="235"/>
      <c r="D174" s="235"/>
      <c r="E174" s="337"/>
      <c r="F174" s="337"/>
      <c r="G174" s="337"/>
      <c r="H174" s="338"/>
      <c r="I174" s="339" t="str">
        <f t="shared" si="7"/>
        <v/>
      </c>
      <c r="J174" s="236" t="str">
        <f ca="1">IFERROR(VLOOKUP($G174,INDIRECT("判定!"&amp;ADDRESS(ROW(判定!$N$2)+1,COLUMN(判定!$N$2)+MATCH($D174,判定!$N$2:$W$2,0)-1,4,1)&amp;":"&amp;ADDRESS(ROW(判定!$O$2)+4,COLUMN(判定!$N$2)+MATCH($D174,判定!$N$2:$W$2,0),4,1),1),2,1),"")</f>
        <v/>
      </c>
      <c r="K174" s="340"/>
      <c r="L174" s="341"/>
      <c r="M174" s="330"/>
      <c r="N174" s="330"/>
      <c r="O174" s="331"/>
      <c r="P174" s="237"/>
      <c r="Q174" s="234" t="str">
        <f>IF(COUNTIF(判定!$L$2:$L$9,$D174)&gt;0,$P174,"")</f>
        <v/>
      </c>
      <c r="R174" s="234" t="str">
        <f>IF(COUNTIF(判定!$L$10:$L$20,$D174)&gt;0,$P174,"")</f>
        <v/>
      </c>
      <c r="S174" s="234" t="str">
        <f>IF(COUNTIF(判定!$L$21,$D174)&gt;0,$P174,"")</f>
        <v/>
      </c>
      <c r="T174" s="341"/>
      <c r="V174" s="226"/>
      <c r="W174" s="221" t="str">
        <f>IF(OR($C174=判定!$K$2,$C174=判定!$K$3,$C174=判定!$K$4,$C174=判定!$K$5),"",IF(COUNTIF($C$15:$C174,$C174)=1,ROW(),""))</f>
        <v/>
      </c>
      <c r="X174" s="221">
        <f t="shared" si="5"/>
        <v>0</v>
      </c>
      <c r="Y174" s="221">
        <f>IF(COUNTIF($C:$C,$X174)&gt;0,1,0)+IF(OR(COUNTIFS($C:$C,$X174,$D:$D,判定!$L$2)&gt;0,COUNTIFS($C:$C,$X174,$D:$D,判定!$L$3)&gt;0,COUNTIFS($C:$C,$X174,$D:$D,判定!$L$4)&gt;0),1,0)+IF(COUNTIFS($C:$C,$X174,$D:$D,判定!$L$7)&gt;0,1,0)+IF(COUNTIFS($C:$C,$X174,$D:$D,判定!$L$8)&gt;0,1,0)+IF(COUNTIFS($C:$C,$X174,$D:$D,判定!$L$9)&gt;0,1,0)</f>
        <v>0</v>
      </c>
      <c r="Z174" s="221" t="str">
        <f>IF(Y174&gt;0,Y174*100+COUNTIF($Y$15:Y174,Y174),"")</f>
        <v/>
      </c>
      <c r="AA174" s="221" t="e">
        <f t="shared" si="6"/>
        <v>#NUM!</v>
      </c>
      <c r="AB174" s="226"/>
      <c r="AC174" s="226"/>
      <c r="AD174" s="226"/>
      <c r="AE174" s="226"/>
      <c r="AF174" s="226"/>
    </row>
    <row r="175" spans="1:32" x14ac:dyDescent="0.2">
      <c r="A175" s="221" t="str">
        <f>IF($D175="","",COUNTA($D$15:$D175))</f>
        <v/>
      </c>
      <c r="B175" s="235"/>
      <c r="C175" s="235"/>
      <c r="D175" s="235"/>
      <c r="E175" s="337"/>
      <c r="F175" s="337"/>
      <c r="G175" s="337"/>
      <c r="H175" s="338"/>
      <c r="I175" s="339" t="str">
        <f t="shared" si="7"/>
        <v/>
      </c>
      <c r="J175" s="236" t="str">
        <f ca="1">IFERROR(VLOOKUP($G175,INDIRECT("判定!"&amp;ADDRESS(ROW(判定!$N$2)+1,COLUMN(判定!$N$2)+MATCH($D175,判定!$N$2:$W$2,0)-1,4,1)&amp;":"&amp;ADDRESS(ROW(判定!$O$2)+4,COLUMN(判定!$N$2)+MATCH($D175,判定!$N$2:$W$2,0),4,1),1),2,1),"")</f>
        <v/>
      </c>
      <c r="K175" s="340"/>
      <c r="L175" s="341"/>
      <c r="M175" s="330"/>
      <c r="N175" s="330"/>
      <c r="O175" s="331"/>
      <c r="P175" s="237"/>
      <c r="Q175" s="234" t="str">
        <f>IF(COUNTIF(判定!$L$2:$L$9,$D175)&gt;0,$P175,"")</f>
        <v/>
      </c>
      <c r="R175" s="234" t="str">
        <f>IF(COUNTIF(判定!$L$10:$L$20,$D175)&gt;0,$P175,"")</f>
        <v/>
      </c>
      <c r="S175" s="234" t="str">
        <f>IF(COUNTIF(判定!$L$21,$D175)&gt;0,$P175,"")</f>
        <v/>
      </c>
      <c r="T175" s="341"/>
      <c r="V175" s="226"/>
      <c r="W175" s="221" t="str">
        <f>IF(OR($C175=判定!$K$2,$C175=判定!$K$3,$C175=判定!$K$4,$C175=判定!$K$5),"",IF(COUNTIF($C$15:$C175,$C175)=1,ROW(),""))</f>
        <v/>
      </c>
      <c r="X175" s="221">
        <f t="shared" si="5"/>
        <v>0</v>
      </c>
      <c r="Y175" s="221">
        <f>IF(COUNTIF($C:$C,$X175)&gt;0,1,0)+IF(OR(COUNTIFS($C:$C,$X175,$D:$D,判定!$L$2)&gt;0,COUNTIFS($C:$C,$X175,$D:$D,判定!$L$3)&gt;0,COUNTIFS($C:$C,$X175,$D:$D,判定!$L$4)&gt;0),1,0)+IF(COUNTIFS($C:$C,$X175,$D:$D,判定!$L$7)&gt;0,1,0)+IF(COUNTIFS($C:$C,$X175,$D:$D,判定!$L$8)&gt;0,1,0)+IF(COUNTIFS($C:$C,$X175,$D:$D,判定!$L$9)&gt;0,1,0)</f>
        <v>0</v>
      </c>
      <c r="Z175" s="221" t="str">
        <f>IF(Y175&gt;0,Y175*100+COUNTIF($Y$15:Y175,Y175),"")</f>
        <v/>
      </c>
      <c r="AA175" s="221" t="e">
        <f t="shared" si="6"/>
        <v>#NUM!</v>
      </c>
      <c r="AB175" s="226"/>
      <c r="AC175" s="226"/>
      <c r="AD175" s="226"/>
      <c r="AE175" s="226"/>
      <c r="AF175" s="226"/>
    </row>
    <row r="176" spans="1:32" x14ac:dyDescent="0.2">
      <c r="A176" s="221" t="str">
        <f>IF($D176="","",COUNTA($D$15:$D176))</f>
        <v/>
      </c>
      <c r="B176" s="235"/>
      <c r="C176" s="235"/>
      <c r="D176" s="235"/>
      <c r="E176" s="337"/>
      <c r="F176" s="337"/>
      <c r="G176" s="337"/>
      <c r="H176" s="338"/>
      <c r="I176" s="339" t="str">
        <f t="shared" si="7"/>
        <v/>
      </c>
      <c r="J176" s="236" t="str">
        <f ca="1">IFERROR(VLOOKUP($G176,INDIRECT("判定!"&amp;ADDRESS(ROW(判定!$N$2)+1,COLUMN(判定!$N$2)+MATCH($D176,判定!$N$2:$W$2,0)-1,4,1)&amp;":"&amp;ADDRESS(ROW(判定!$O$2)+4,COLUMN(判定!$N$2)+MATCH($D176,判定!$N$2:$W$2,0),4,1),1),2,1),"")</f>
        <v/>
      </c>
      <c r="K176" s="340"/>
      <c r="L176" s="341"/>
      <c r="M176" s="330"/>
      <c r="N176" s="330"/>
      <c r="O176" s="331"/>
      <c r="P176" s="237"/>
      <c r="Q176" s="234" t="str">
        <f>IF(COUNTIF(判定!$L$2:$L$9,$D176)&gt;0,$P176,"")</f>
        <v/>
      </c>
      <c r="R176" s="234" t="str">
        <f>IF(COUNTIF(判定!$L$10:$L$20,$D176)&gt;0,$P176,"")</f>
        <v/>
      </c>
      <c r="S176" s="234" t="str">
        <f>IF(COUNTIF(判定!$L$21,$D176)&gt;0,$P176,"")</f>
        <v/>
      </c>
      <c r="T176" s="341"/>
      <c r="V176" s="226"/>
      <c r="W176" s="221" t="str">
        <f>IF(OR($C176=判定!$K$2,$C176=判定!$K$3,$C176=判定!$K$4,$C176=判定!$K$5),"",IF(COUNTIF($C$15:$C176,$C176)=1,ROW(),""))</f>
        <v/>
      </c>
      <c r="X176" s="221">
        <f t="shared" si="5"/>
        <v>0</v>
      </c>
      <c r="Y176" s="221">
        <f>IF(COUNTIF($C:$C,$X176)&gt;0,1,0)+IF(OR(COUNTIFS($C:$C,$X176,$D:$D,判定!$L$2)&gt;0,COUNTIFS($C:$C,$X176,$D:$D,判定!$L$3)&gt;0,COUNTIFS($C:$C,$X176,$D:$D,判定!$L$4)&gt;0),1,0)+IF(COUNTIFS($C:$C,$X176,$D:$D,判定!$L$7)&gt;0,1,0)+IF(COUNTIFS($C:$C,$X176,$D:$D,判定!$L$8)&gt;0,1,0)+IF(COUNTIFS($C:$C,$X176,$D:$D,判定!$L$9)&gt;0,1,0)</f>
        <v>0</v>
      </c>
      <c r="Z176" s="221" t="str">
        <f>IF(Y176&gt;0,Y176*100+COUNTIF($Y$15:Y176,Y176),"")</f>
        <v/>
      </c>
      <c r="AA176" s="221" t="e">
        <f t="shared" si="6"/>
        <v>#NUM!</v>
      </c>
      <c r="AB176" s="226"/>
      <c r="AC176" s="226"/>
      <c r="AD176" s="226"/>
      <c r="AE176" s="226"/>
      <c r="AF176" s="226"/>
    </row>
    <row r="177" spans="1:32" x14ac:dyDescent="0.2">
      <c r="A177" s="221" t="str">
        <f>IF($D177="","",COUNTA($D$15:$D177))</f>
        <v/>
      </c>
      <c r="B177" s="235"/>
      <c r="C177" s="235"/>
      <c r="D177" s="235"/>
      <c r="E177" s="337"/>
      <c r="F177" s="337"/>
      <c r="G177" s="337"/>
      <c r="H177" s="338"/>
      <c r="I177" s="339" t="str">
        <f t="shared" si="7"/>
        <v/>
      </c>
      <c r="J177" s="236" t="str">
        <f ca="1">IFERROR(VLOOKUP($G177,INDIRECT("判定!"&amp;ADDRESS(ROW(判定!$N$2)+1,COLUMN(判定!$N$2)+MATCH($D177,判定!$N$2:$W$2,0)-1,4,1)&amp;":"&amp;ADDRESS(ROW(判定!$O$2)+4,COLUMN(判定!$N$2)+MATCH($D177,判定!$N$2:$W$2,0),4,1),1),2,1),"")</f>
        <v/>
      </c>
      <c r="K177" s="340"/>
      <c r="L177" s="341"/>
      <c r="M177" s="330"/>
      <c r="N177" s="330"/>
      <c r="O177" s="331"/>
      <c r="P177" s="237"/>
      <c r="Q177" s="234" t="str">
        <f>IF(COUNTIF(判定!$L$2:$L$9,$D177)&gt;0,$P177,"")</f>
        <v/>
      </c>
      <c r="R177" s="234" t="str">
        <f>IF(COUNTIF(判定!$L$10:$L$20,$D177)&gt;0,$P177,"")</f>
        <v/>
      </c>
      <c r="S177" s="234" t="str">
        <f>IF(COUNTIF(判定!$L$21,$D177)&gt;0,$P177,"")</f>
        <v/>
      </c>
      <c r="T177" s="341"/>
      <c r="V177" s="226"/>
      <c r="W177" s="221" t="str">
        <f>IF(OR($C177=判定!$K$2,$C177=判定!$K$3,$C177=判定!$K$4,$C177=判定!$K$5),"",IF(COUNTIF($C$15:$C177,$C177)=1,ROW(),""))</f>
        <v/>
      </c>
      <c r="X177" s="221">
        <f t="shared" si="5"/>
        <v>0</v>
      </c>
      <c r="Y177" s="221">
        <f>IF(COUNTIF($C:$C,$X177)&gt;0,1,0)+IF(OR(COUNTIFS($C:$C,$X177,$D:$D,判定!$L$2)&gt;0,COUNTIFS($C:$C,$X177,$D:$D,判定!$L$3)&gt;0,COUNTIFS($C:$C,$X177,$D:$D,判定!$L$4)&gt;0),1,0)+IF(COUNTIFS($C:$C,$X177,$D:$D,判定!$L$7)&gt;0,1,0)+IF(COUNTIFS($C:$C,$X177,$D:$D,判定!$L$8)&gt;0,1,0)+IF(COUNTIFS($C:$C,$X177,$D:$D,判定!$L$9)&gt;0,1,0)</f>
        <v>0</v>
      </c>
      <c r="Z177" s="221" t="str">
        <f>IF(Y177&gt;0,Y177*100+COUNTIF($Y$15:Y177,Y177),"")</f>
        <v/>
      </c>
      <c r="AA177" s="221" t="e">
        <f t="shared" si="6"/>
        <v>#NUM!</v>
      </c>
      <c r="AB177" s="226"/>
      <c r="AC177" s="226"/>
      <c r="AD177" s="226"/>
      <c r="AE177" s="226"/>
      <c r="AF177" s="226"/>
    </row>
    <row r="178" spans="1:32" x14ac:dyDescent="0.2">
      <c r="A178" s="221" t="str">
        <f>IF($D178="","",COUNTA($D$15:$D178))</f>
        <v/>
      </c>
      <c r="B178" s="235"/>
      <c r="C178" s="235"/>
      <c r="D178" s="235"/>
      <c r="E178" s="337"/>
      <c r="F178" s="337"/>
      <c r="G178" s="337"/>
      <c r="H178" s="338"/>
      <c r="I178" s="339" t="str">
        <f t="shared" si="7"/>
        <v/>
      </c>
      <c r="J178" s="236" t="str">
        <f ca="1">IFERROR(VLOOKUP($G178,INDIRECT("判定!"&amp;ADDRESS(ROW(判定!$N$2)+1,COLUMN(判定!$N$2)+MATCH($D178,判定!$N$2:$W$2,0)-1,4,1)&amp;":"&amp;ADDRESS(ROW(判定!$O$2)+4,COLUMN(判定!$N$2)+MATCH($D178,判定!$N$2:$W$2,0),4,1),1),2,1),"")</f>
        <v/>
      </c>
      <c r="K178" s="340"/>
      <c r="L178" s="341"/>
      <c r="M178" s="330"/>
      <c r="N178" s="330"/>
      <c r="O178" s="331"/>
      <c r="P178" s="237"/>
      <c r="Q178" s="234" t="str">
        <f>IF(COUNTIF(判定!$L$2:$L$9,$D178)&gt;0,$P178,"")</f>
        <v/>
      </c>
      <c r="R178" s="234" t="str">
        <f>IF(COUNTIF(判定!$L$10:$L$20,$D178)&gt;0,$P178,"")</f>
        <v/>
      </c>
      <c r="S178" s="234" t="str">
        <f>IF(COUNTIF(判定!$L$21,$D178)&gt;0,$P178,"")</f>
        <v/>
      </c>
      <c r="T178" s="341"/>
      <c r="V178" s="226"/>
      <c r="W178" s="221" t="str">
        <f>IF(OR($C178=判定!$K$2,$C178=判定!$K$3,$C178=判定!$K$4,$C178=判定!$K$5),"",IF(COUNTIF($C$15:$C178,$C178)=1,ROW(),""))</f>
        <v/>
      </c>
      <c r="X178" s="221">
        <f t="shared" si="5"/>
        <v>0</v>
      </c>
      <c r="Y178" s="221">
        <f>IF(COUNTIF($C:$C,$X178)&gt;0,1,0)+IF(OR(COUNTIFS($C:$C,$X178,$D:$D,判定!$L$2)&gt;0,COUNTIFS($C:$C,$X178,$D:$D,判定!$L$3)&gt;0,COUNTIFS($C:$C,$X178,$D:$D,判定!$L$4)&gt;0),1,0)+IF(COUNTIFS($C:$C,$X178,$D:$D,判定!$L$7)&gt;0,1,0)+IF(COUNTIFS($C:$C,$X178,$D:$D,判定!$L$8)&gt;0,1,0)+IF(COUNTIFS($C:$C,$X178,$D:$D,判定!$L$9)&gt;0,1,0)</f>
        <v>0</v>
      </c>
      <c r="Z178" s="221" t="str">
        <f>IF(Y178&gt;0,Y178*100+COUNTIF($Y$15:Y178,Y178),"")</f>
        <v/>
      </c>
      <c r="AA178" s="221" t="e">
        <f t="shared" si="6"/>
        <v>#NUM!</v>
      </c>
      <c r="AB178" s="226"/>
      <c r="AC178" s="226"/>
      <c r="AD178" s="226"/>
      <c r="AE178" s="226"/>
      <c r="AF178" s="226"/>
    </row>
    <row r="179" spans="1:32" x14ac:dyDescent="0.2">
      <c r="A179" s="221" t="str">
        <f>IF($D179="","",COUNTA($D$15:$D179))</f>
        <v/>
      </c>
      <c r="B179" s="235"/>
      <c r="C179" s="235"/>
      <c r="D179" s="235"/>
      <c r="E179" s="337"/>
      <c r="F179" s="337"/>
      <c r="G179" s="337"/>
      <c r="H179" s="338"/>
      <c r="I179" s="339" t="str">
        <f t="shared" si="7"/>
        <v/>
      </c>
      <c r="J179" s="236" t="str">
        <f ca="1">IFERROR(VLOOKUP($G179,INDIRECT("判定!"&amp;ADDRESS(ROW(判定!$N$2)+1,COLUMN(判定!$N$2)+MATCH($D179,判定!$N$2:$W$2,0)-1,4,1)&amp;":"&amp;ADDRESS(ROW(判定!$O$2)+4,COLUMN(判定!$N$2)+MATCH($D179,判定!$N$2:$W$2,0),4,1),1),2,1),"")</f>
        <v/>
      </c>
      <c r="K179" s="340"/>
      <c r="L179" s="341"/>
      <c r="M179" s="330"/>
      <c r="N179" s="330"/>
      <c r="O179" s="331"/>
      <c r="P179" s="237"/>
      <c r="Q179" s="234" t="str">
        <f>IF(COUNTIF(判定!$L$2:$L$9,$D179)&gt;0,$P179,"")</f>
        <v/>
      </c>
      <c r="R179" s="234" t="str">
        <f>IF(COUNTIF(判定!$L$10:$L$20,$D179)&gt;0,$P179,"")</f>
        <v/>
      </c>
      <c r="S179" s="234" t="str">
        <f>IF(COUNTIF(判定!$L$21,$D179)&gt;0,$P179,"")</f>
        <v/>
      </c>
      <c r="T179" s="341"/>
      <c r="V179" s="226"/>
      <c r="W179" s="221" t="str">
        <f>IF(OR($C179=判定!$K$2,$C179=判定!$K$3,$C179=判定!$K$4,$C179=判定!$K$5),"",IF(COUNTIF($C$15:$C179,$C179)=1,ROW(),""))</f>
        <v/>
      </c>
      <c r="X179" s="221">
        <f t="shared" si="5"/>
        <v>0</v>
      </c>
      <c r="Y179" s="221">
        <f>IF(COUNTIF($C:$C,$X179)&gt;0,1,0)+IF(OR(COUNTIFS($C:$C,$X179,$D:$D,判定!$L$2)&gt;0,COUNTIFS($C:$C,$X179,$D:$D,判定!$L$3)&gt;0,COUNTIFS($C:$C,$X179,$D:$D,判定!$L$4)&gt;0),1,0)+IF(COUNTIFS($C:$C,$X179,$D:$D,判定!$L$7)&gt;0,1,0)+IF(COUNTIFS($C:$C,$X179,$D:$D,判定!$L$8)&gt;0,1,0)+IF(COUNTIFS($C:$C,$X179,$D:$D,判定!$L$9)&gt;0,1,0)</f>
        <v>0</v>
      </c>
      <c r="Z179" s="221" t="str">
        <f>IF(Y179&gt;0,Y179*100+COUNTIF($Y$15:Y179,Y179),"")</f>
        <v/>
      </c>
      <c r="AA179" s="221" t="e">
        <f t="shared" si="6"/>
        <v>#NUM!</v>
      </c>
      <c r="AB179" s="226"/>
      <c r="AC179" s="226"/>
      <c r="AD179" s="226"/>
      <c r="AE179" s="226"/>
      <c r="AF179" s="226"/>
    </row>
    <row r="180" spans="1:32" x14ac:dyDescent="0.2">
      <c r="A180" s="221" t="str">
        <f>IF($D180="","",COUNTA($D$15:$D180))</f>
        <v/>
      </c>
      <c r="B180" s="235"/>
      <c r="C180" s="235"/>
      <c r="D180" s="235"/>
      <c r="E180" s="337"/>
      <c r="F180" s="337"/>
      <c r="G180" s="337"/>
      <c r="H180" s="338"/>
      <c r="I180" s="339" t="str">
        <f t="shared" si="7"/>
        <v/>
      </c>
      <c r="J180" s="236" t="str">
        <f ca="1">IFERROR(VLOOKUP($G180,INDIRECT("判定!"&amp;ADDRESS(ROW(判定!$N$2)+1,COLUMN(判定!$N$2)+MATCH($D180,判定!$N$2:$W$2,0)-1,4,1)&amp;":"&amp;ADDRESS(ROW(判定!$O$2)+4,COLUMN(判定!$N$2)+MATCH($D180,判定!$N$2:$W$2,0),4,1),1),2,1),"")</f>
        <v/>
      </c>
      <c r="K180" s="340"/>
      <c r="L180" s="341"/>
      <c r="M180" s="330"/>
      <c r="N180" s="330"/>
      <c r="O180" s="331"/>
      <c r="P180" s="237"/>
      <c r="Q180" s="234" t="str">
        <f>IF(COUNTIF(判定!$L$2:$L$9,$D180)&gt;0,$P180,"")</f>
        <v/>
      </c>
      <c r="R180" s="234" t="str">
        <f>IF(COUNTIF(判定!$L$10:$L$20,$D180)&gt;0,$P180,"")</f>
        <v/>
      </c>
      <c r="S180" s="234" t="str">
        <f>IF(COUNTIF(判定!$L$21,$D180)&gt;0,$P180,"")</f>
        <v/>
      </c>
      <c r="T180" s="341"/>
      <c r="V180" s="226"/>
      <c r="W180" s="221" t="str">
        <f>IF(OR($C180=判定!$K$2,$C180=判定!$K$3,$C180=判定!$K$4,$C180=判定!$K$5),"",IF(COUNTIF($C$15:$C180,$C180)=1,ROW(),""))</f>
        <v/>
      </c>
      <c r="X180" s="221">
        <f t="shared" si="5"/>
        <v>0</v>
      </c>
      <c r="Y180" s="221">
        <f>IF(COUNTIF($C:$C,$X180)&gt;0,1,0)+IF(OR(COUNTIFS($C:$C,$X180,$D:$D,判定!$L$2)&gt;0,COUNTIFS($C:$C,$X180,$D:$D,判定!$L$3)&gt;0,COUNTIFS($C:$C,$X180,$D:$D,判定!$L$4)&gt;0),1,0)+IF(COUNTIFS($C:$C,$X180,$D:$D,判定!$L$7)&gt;0,1,0)+IF(COUNTIFS($C:$C,$X180,$D:$D,判定!$L$8)&gt;0,1,0)+IF(COUNTIFS($C:$C,$X180,$D:$D,判定!$L$9)&gt;0,1,0)</f>
        <v>0</v>
      </c>
      <c r="Z180" s="221" t="str">
        <f>IF(Y180&gt;0,Y180*100+COUNTIF($Y$15:Y180,Y180),"")</f>
        <v/>
      </c>
      <c r="AA180" s="221" t="e">
        <f t="shared" si="6"/>
        <v>#NUM!</v>
      </c>
      <c r="AB180" s="226"/>
      <c r="AC180" s="226"/>
      <c r="AD180" s="226"/>
      <c r="AE180" s="226"/>
      <c r="AF180" s="226"/>
    </row>
    <row r="181" spans="1:32" x14ac:dyDescent="0.2">
      <c r="A181" s="221" t="str">
        <f>IF($D181="","",COUNTA($D$15:$D181))</f>
        <v/>
      </c>
      <c r="B181" s="235"/>
      <c r="C181" s="235"/>
      <c r="D181" s="235"/>
      <c r="E181" s="337"/>
      <c r="F181" s="337"/>
      <c r="G181" s="337"/>
      <c r="H181" s="338"/>
      <c r="I181" s="339" t="str">
        <f t="shared" si="7"/>
        <v/>
      </c>
      <c r="J181" s="236" t="str">
        <f ca="1">IFERROR(VLOOKUP($G181,INDIRECT("判定!"&amp;ADDRESS(ROW(判定!$N$2)+1,COLUMN(判定!$N$2)+MATCH($D181,判定!$N$2:$W$2,0)-1,4,1)&amp;":"&amp;ADDRESS(ROW(判定!$O$2)+4,COLUMN(判定!$N$2)+MATCH($D181,判定!$N$2:$W$2,0),4,1),1),2,1),"")</f>
        <v/>
      </c>
      <c r="K181" s="340"/>
      <c r="L181" s="341"/>
      <c r="M181" s="330"/>
      <c r="N181" s="330"/>
      <c r="O181" s="331"/>
      <c r="P181" s="237"/>
      <c r="Q181" s="234" t="str">
        <f>IF(COUNTIF(判定!$L$2:$L$9,$D181)&gt;0,$P181,"")</f>
        <v/>
      </c>
      <c r="R181" s="234" t="str">
        <f>IF(COUNTIF(判定!$L$10:$L$20,$D181)&gt;0,$P181,"")</f>
        <v/>
      </c>
      <c r="S181" s="234" t="str">
        <f>IF(COUNTIF(判定!$L$21,$D181)&gt;0,$P181,"")</f>
        <v/>
      </c>
      <c r="T181" s="341"/>
      <c r="V181" s="226"/>
      <c r="W181" s="221" t="str">
        <f>IF(OR($C181=判定!$K$2,$C181=判定!$K$3,$C181=判定!$K$4,$C181=判定!$K$5),"",IF(COUNTIF($C$15:$C181,$C181)=1,ROW(),""))</f>
        <v/>
      </c>
      <c r="X181" s="221">
        <f t="shared" si="5"/>
        <v>0</v>
      </c>
      <c r="Y181" s="221">
        <f>IF(COUNTIF($C:$C,$X181)&gt;0,1,0)+IF(OR(COUNTIFS($C:$C,$X181,$D:$D,判定!$L$2)&gt;0,COUNTIFS($C:$C,$X181,$D:$D,判定!$L$3)&gt;0,COUNTIFS($C:$C,$X181,$D:$D,判定!$L$4)&gt;0),1,0)+IF(COUNTIFS($C:$C,$X181,$D:$D,判定!$L$7)&gt;0,1,0)+IF(COUNTIFS($C:$C,$X181,$D:$D,判定!$L$8)&gt;0,1,0)+IF(COUNTIFS($C:$C,$X181,$D:$D,判定!$L$9)&gt;0,1,0)</f>
        <v>0</v>
      </c>
      <c r="Z181" s="221" t="str">
        <f>IF(Y181&gt;0,Y181*100+COUNTIF($Y$15:Y181,Y181),"")</f>
        <v/>
      </c>
      <c r="AA181" s="221" t="e">
        <f t="shared" si="6"/>
        <v>#NUM!</v>
      </c>
      <c r="AB181" s="226"/>
      <c r="AC181" s="226"/>
      <c r="AD181" s="226"/>
      <c r="AE181" s="226"/>
      <c r="AF181" s="226"/>
    </row>
    <row r="182" spans="1:32" x14ac:dyDescent="0.2">
      <c r="A182" s="221" t="str">
        <f>IF($D182="","",COUNTA($D$15:$D182))</f>
        <v/>
      </c>
      <c r="B182" s="235"/>
      <c r="C182" s="235"/>
      <c r="D182" s="235"/>
      <c r="E182" s="337"/>
      <c r="F182" s="337"/>
      <c r="G182" s="337"/>
      <c r="H182" s="338"/>
      <c r="I182" s="339" t="str">
        <f t="shared" si="7"/>
        <v/>
      </c>
      <c r="J182" s="236" t="str">
        <f ca="1">IFERROR(VLOOKUP($G182,INDIRECT("判定!"&amp;ADDRESS(ROW(判定!$N$2)+1,COLUMN(判定!$N$2)+MATCH($D182,判定!$N$2:$W$2,0)-1,4,1)&amp;":"&amp;ADDRESS(ROW(判定!$O$2)+4,COLUMN(判定!$N$2)+MATCH($D182,判定!$N$2:$W$2,0),4,1),1),2,1),"")</f>
        <v/>
      </c>
      <c r="K182" s="340"/>
      <c r="L182" s="341"/>
      <c r="M182" s="330"/>
      <c r="N182" s="330"/>
      <c r="O182" s="331"/>
      <c r="P182" s="237"/>
      <c r="Q182" s="234" t="str">
        <f>IF(COUNTIF(判定!$L$2:$L$9,$D182)&gt;0,$P182,"")</f>
        <v/>
      </c>
      <c r="R182" s="234" t="str">
        <f>IF(COUNTIF(判定!$L$10:$L$20,$D182)&gt;0,$P182,"")</f>
        <v/>
      </c>
      <c r="S182" s="234" t="str">
        <f>IF(COUNTIF(判定!$L$21,$D182)&gt;0,$P182,"")</f>
        <v/>
      </c>
      <c r="T182" s="341"/>
      <c r="V182" s="226"/>
      <c r="W182" s="221" t="str">
        <f>IF(OR($C182=判定!$K$2,$C182=判定!$K$3,$C182=判定!$K$4,$C182=判定!$K$5),"",IF(COUNTIF($C$15:$C182,$C182)=1,ROW(),""))</f>
        <v/>
      </c>
      <c r="X182" s="221">
        <f t="shared" si="5"/>
        <v>0</v>
      </c>
      <c r="Y182" s="221">
        <f>IF(COUNTIF($C:$C,$X182)&gt;0,1,0)+IF(OR(COUNTIFS($C:$C,$X182,$D:$D,判定!$L$2)&gt;0,COUNTIFS($C:$C,$X182,$D:$D,判定!$L$3)&gt;0,COUNTIFS($C:$C,$X182,$D:$D,判定!$L$4)&gt;0),1,0)+IF(COUNTIFS($C:$C,$X182,$D:$D,判定!$L$7)&gt;0,1,0)+IF(COUNTIFS($C:$C,$X182,$D:$D,判定!$L$8)&gt;0,1,0)+IF(COUNTIFS($C:$C,$X182,$D:$D,判定!$L$9)&gt;0,1,0)</f>
        <v>0</v>
      </c>
      <c r="Z182" s="221" t="str">
        <f>IF(Y182&gt;0,Y182*100+COUNTIF($Y$15:Y182,Y182),"")</f>
        <v/>
      </c>
      <c r="AA182" s="221" t="e">
        <f t="shared" si="6"/>
        <v>#NUM!</v>
      </c>
      <c r="AB182" s="226"/>
      <c r="AC182" s="226"/>
      <c r="AD182" s="226"/>
      <c r="AE182" s="226"/>
      <c r="AF182" s="226"/>
    </row>
    <row r="183" spans="1:32" x14ac:dyDescent="0.2">
      <c r="A183" s="221" t="str">
        <f>IF($D183="","",COUNTA($D$15:$D183))</f>
        <v/>
      </c>
      <c r="B183" s="235"/>
      <c r="C183" s="235"/>
      <c r="D183" s="235"/>
      <c r="E183" s="337"/>
      <c r="F183" s="337"/>
      <c r="G183" s="337"/>
      <c r="H183" s="338"/>
      <c r="I183" s="339" t="str">
        <f t="shared" si="7"/>
        <v/>
      </c>
      <c r="J183" s="236" t="str">
        <f ca="1">IFERROR(VLOOKUP($G183,INDIRECT("判定!"&amp;ADDRESS(ROW(判定!$N$2)+1,COLUMN(判定!$N$2)+MATCH($D183,判定!$N$2:$W$2,0)-1,4,1)&amp;":"&amp;ADDRESS(ROW(判定!$O$2)+4,COLUMN(判定!$N$2)+MATCH($D183,判定!$N$2:$W$2,0),4,1),1),2,1),"")</f>
        <v/>
      </c>
      <c r="K183" s="340"/>
      <c r="L183" s="341"/>
      <c r="M183" s="330"/>
      <c r="N183" s="330"/>
      <c r="O183" s="331"/>
      <c r="P183" s="237"/>
      <c r="Q183" s="234" t="str">
        <f>IF(COUNTIF(判定!$L$2:$L$9,$D183)&gt;0,$P183,"")</f>
        <v/>
      </c>
      <c r="R183" s="234" t="str">
        <f>IF(COUNTIF(判定!$L$10:$L$20,$D183)&gt;0,$P183,"")</f>
        <v/>
      </c>
      <c r="S183" s="234" t="str">
        <f>IF(COUNTIF(判定!$L$21,$D183)&gt;0,$P183,"")</f>
        <v/>
      </c>
      <c r="T183" s="341"/>
      <c r="V183" s="226"/>
      <c r="W183" s="221" t="str">
        <f>IF(OR($C183=判定!$K$2,$C183=判定!$K$3,$C183=判定!$K$4,$C183=判定!$K$5),"",IF(COUNTIF($C$15:$C183,$C183)=1,ROW(),""))</f>
        <v/>
      </c>
      <c r="X183" s="221">
        <f t="shared" si="5"/>
        <v>0</v>
      </c>
      <c r="Y183" s="221">
        <f>IF(COUNTIF($C:$C,$X183)&gt;0,1,0)+IF(OR(COUNTIFS($C:$C,$X183,$D:$D,判定!$L$2)&gt;0,COUNTIFS($C:$C,$X183,$D:$D,判定!$L$3)&gt;0,COUNTIFS($C:$C,$X183,$D:$D,判定!$L$4)&gt;0),1,0)+IF(COUNTIFS($C:$C,$X183,$D:$D,判定!$L$7)&gt;0,1,0)+IF(COUNTIFS($C:$C,$X183,$D:$D,判定!$L$8)&gt;0,1,0)+IF(COUNTIFS($C:$C,$X183,$D:$D,判定!$L$9)&gt;0,1,0)</f>
        <v>0</v>
      </c>
      <c r="Z183" s="221" t="str">
        <f>IF(Y183&gt;0,Y183*100+COUNTIF($Y$15:Y183,Y183),"")</f>
        <v/>
      </c>
      <c r="AA183" s="221" t="e">
        <f t="shared" si="6"/>
        <v>#NUM!</v>
      </c>
      <c r="AB183" s="226"/>
      <c r="AC183" s="226"/>
      <c r="AD183" s="226"/>
      <c r="AE183" s="226"/>
      <c r="AF183" s="226"/>
    </row>
    <row r="184" spans="1:32" x14ac:dyDescent="0.2">
      <c r="A184" s="221" t="str">
        <f>IF($D184="","",COUNTA($D$15:$D184))</f>
        <v/>
      </c>
      <c r="B184" s="235"/>
      <c r="C184" s="235"/>
      <c r="D184" s="235"/>
      <c r="E184" s="337"/>
      <c r="F184" s="337"/>
      <c r="G184" s="337"/>
      <c r="H184" s="338"/>
      <c r="I184" s="339" t="str">
        <f t="shared" si="7"/>
        <v/>
      </c>
      <c r="J184" s="236" t="str">
        <f ca="1">IFERROR(VLOOKUP($G184,INDIRECT("判定!"&amp;ADDRESS(ROW(判定!$N$2)+1,COLUMN(判定!$N$2)+MATCH($D184,判定!$N$2:$W$2,0)-1,4,1)&amp;":"&amp;ADDRESS(ROW(判定!$O$2)+4,COLUMN(判定!$N$2)+MATCH($D184,判定!$N$2:$W$2,0),4,1),1),2,1),"")</f>
        <v/>
      </c>
      <c r="K184" s="340"/>
      <c r="L184" s="341"/>
      <c r="M184" s="330"/>
      <c r="N184" s="330"/>
      <c r="O184" s="331"/>
      <c r="P184" s="237"/>
      <c r="Q184" s="234" t="str">
        <f>IF(COUNTIF(判定!$L$2:$L$9,$D184)&gt;0,$P184,"")</f>
        <v/>
      </c>
      <c r="R184" s="234" t="str">
        <f>IF(COUNTIF(判定!$L$10:$L$20,$D184)&gt;0,$P184,"")</f>
        <v/>
      </c>
      <c r="S184" s="234" t="str">
        <f>IF(COUNTIF(判定!$L$21,$D184)&gt;0,$P184,"")</f>
        <v/>
      </c>
      <c r="T184" s="341"/>
      <c r="V184" s="226"/>
      <c r="W184" s="221" t="str">
        <f>IF(OR($C184=判定!$K$2,$C184=判定!$K$3,$C184=判定!$K$4,$C184=判定!$K$5),"",IF(COUNTIF($C$15:$C184,$C184)=1,ROW(),""))</f>
        <v/>
      </c>
      <c r="X184" s="221">
        <f t="shared" si="5"/>
        <v>0</v>
      </c>
      <c r="Y184" s="221">
        <f>IF(COUNTIF($C:$C,$X184)&gt;0,1,0)+IF(OR(COUNTIFS($C:$C,$X184,$D:$D,判定!$L$2)&gt;0,COUNTIFS($C:$C,$X184,$D:$D,判定!$L$3)&gt;0,COUNTIFS($C:$C,$X184,$D:$D,判定!$L$4)&gt;0),1,0)+IF(COUNTIFS($C:$C,$X184,$D:$D,判定!$L$7)&gt;0,1,0)+IF(COUNTIFS($C:$C,$X184,$D:$D,判定!$L$8)&gt;0,1,0)+IF(COUNTIFS($C:$C,$X184,$D:$D,判定!$L$9)&gt;0,1,0)</f>
        <v>0</v>
      </c>
      <c r="Z184" s="221" t="str">
        <f>IF(Y184&gt;0,Y184*100+COUNTIF($Y$15:Y184,Y184),"")</f>
        <v/>
      </c>
      <c r="AA184" s="221" t="e">
        <f t="shared" si="6"/>
        <v>#NUM!</v>
      </c>
      <c r="AB184" s="226"/>
      <c r="AC184" s="226"/>
      <c r="AD184" s="226"/>
      <c r="AE184" s="226"/>
      <c r="AF184" s="226"/>
    </row>
    <row r="185" spans="1:32" x14ac:dyDescent="0.2">
      <c r="A185" s="221" t="str">
        <f>IF($D185="","",COUNTA($D$15:$D185))</f>
        <v/>
      </c>
      <c r="B185" s="235"/>
      <c r="C185" s="235"/>
      <c r="D185" s="235"/>
      <c r="E185" s="337"/>
      <c r="F185" s="337"/>
      <c r="G185" s="337"/>
      <c r="H185" s="338"/>
      <c r="I185" s="339" t="str">
        <f t="shared" si="7"/>
        <v/>
      </c>
      <c r="J185" s="236" t="str">
        <f ca="1">IFERROR(VLOOKUP($G185,INDIRECT("判定!"&amp;ADDRESS(ROW(判定!$N$2)+1,COLUMN(判定!$N$2)+MATCH($D185,判定!$N$2:$W$2,0)-1,4,1)&amp;":"&amp;ADDRESS(ROW(判定!$O$2)+4,COLUMN(判定!$N$2)+MATCH($D185,判定!$N$2:$W$2,0),4,1),1),2,1),"")</f>
        <v/>
      </c>
      <c r="K185" s="340"/>
      <c r="L185" s="341"/>
      <c r="M185" s="330"/>
      <c r="N185" s="330"/>
      <c r="O185" s="331"/>
      <c r="P185" s="237"/>
      <c r="Q185" s="234" t="str">
        <f>IF(COUNTIF(判定!$L$2:$L$9,$D185)&gt;0,$P185,"")</f>
        <v/>
      </c>
      <c r="R185" s="234" t="str">
        <f>IF(COUNTIF(判定!$L$10:$L$20,$D185)&gt;0,$P185,"")</f>
        <v/>
      </c>
      <c r="S185" s="234" t="str">
        <f>IF(COUNTIF(判定!$L$21,$D185)&gt;0,$P185,"")</f>
        <v/>
      </c>
      <c r="T185" s="341"/>
      <c r="V185" s="226"/>
      <c r="W185" s="221" t="str">
        <f>IF(OR($C185=判定!$K$2,$C185=判定!$K$3,$C185=判定!$K$4,$C185=判定!$K$5),"",IF(COUNTIF($C$15:$C185,$C185)=1,ROW(),""))</f>
        <v/>
      </c>
      <c r="X185" s="221">
        <f t="shared" si="5"/>
        <v>0</v>
      </c>
      <c r="Y185" s="221">
        <f>IF(COUNTIF($C:$C,$X185)&gt;0,1,0)+IF(OR(COUNTIFS($C:$C,$X185,$D:$D,判定!$L$2)&gt;0,COUNTIFS($C:$C,$X185,$D:$D,判定!$L$3)&gt;0,COUNTIFS($C:$C,$X185,$D:$D,判定!$L$4)&gt;0),1,0)+IF(COUNTIFS($C:$C,$X185,$D:$D,判定!$L$7)&gt;0,1,0)+IF(COUNTIFS($C:$C,$X185,$D:$D,判定!$L$8)&gt;0,1,0)+IF(COUNTIFS($C:$C,$X185,$D:$D,判定!$L$9)&gt;0,1,0)</f>
        <v>0</v>
      </c>
      <c r="Z185" s="221" t="str">
        <f>IF(Y185&gt;0,Y185*100+COUNTIF($Y$15:Y185,Y185),"")</f>
        <v/>
      </c>
      <c r="AA185" s="221" t="e">
        <f t="shared" si="6"/>
        <v>#NUM!</v>
      </c>
      <c r="AB185" s="226"/>
      <c r="AC185" s="226"/>
      <c r="AD185" s="226"/>
      <c r="AE185" s="226"/>
      <c r="AF185" s="226"/>
    </row>
    <row r="186" spans="1:32" x14ac:dyDescent="0.2">
      <c r="A186" s="221" t="str">
        <f>IF($D186="","",COUNTA($D$15:$D186))</f>
        <v/>
      </c>
      <c r="B186" s="235"/>
      <c r="C186" s="235"/>
      <c r="D186" s="235"/>
      <c r="E186" s="337"/>
      <c r="F186" s="337"/>
      <c r="G186" s="337"/>
      <c r="H186" s="338"/>
      <c r="I186" s="339" t="str">
        <f t="shared" si="7"/>
        <v/>
      </c>
      <c r="J186" s="236" t="str">
        <f ca="1">IFERROR(VLOOKUP($G186,INDIRECT("判定!"&amp;ADDRESS(ROW(判定!$N$2)+1,COLUMN(判定!$N$2)+MATCH($D186,判定!$N$2:$W$2,0)-1,4,1)&amp;":"&amp;ADDRESS(ROW(判定!$O$2)+4,COLUMN(判定!$N$2)+MATCH($D186,判定!$N$2:$W$2,0),4,1),1),2,1),"")</f>
        <v/>
      </c>
      <c r="K186" s="340"/>
      <c r="L186" s="341"/>
      <c r="M186" s="330"/>
      <c r="N186" s="330"/>
      <c r="O186" s="331"/>
      <c r="P186" s="237"/>
      <c r="Q186" s="234" t="str">
        <f>IF(COUNTIF(判定!$L$2:$L$9,$D186)&gt;0,$P186,"")</f>
        <v/>
      </c>
      <c r="R186" s="234" t="str">
        <f>IF(COUNTIF(判定!$L$10:$L$20,$D186)&gt;0,$P186,"")</f>
        <v/>
      </c>
      <c r="S186" s="234" t="str">
        <f>IF(COUNTIF(判定!$L$21,$D186)&gt;0,$P186,"")</f>
        <v/>
      </c>
      <c r="T186" s="341"/>
      <c r="V186" s="226"/>
      <c r="W186" s="221" t="str">
        <f>IF(OR($C186=判定!$K$2,$C186=判定!$K$3,$C186=判定!$K$4,$C186=判定!$K$5),"",IF(COUNTIF($C$15:$C186,$C186)=1,ROW(),""))</f>
        <v/>
      </c>
      <c r="X186" s="221">
        <f t="shared" si="5"/>
        <v>0</v>
      </c>
      <c r="Y186" s="221">
        <f>IF(COUNTIF($C:$C,$X186)&gt;0,1,0)+IF(OR(COUNTIFS($C:$C,$X186,$D:$D,判定!$L$2)&gt;0,COUNTIFS($C:$C,$X186,$D:$D,判定!$L$3)&gt;0,COUNTIFS($C:$C,$X186,$D:$D,判定!$L$4)&gt;0),1,0)+IF(COUNTIFS($C:$C,$X186,$D:$D,判定!$L$7)&gt;0,1,0)+IF(COUNTIFS($C:$C,$X186,$D:$D,判定!$L$8)&gt;0,1,0)+IF(COUNTIFS($C:$C,$X186,$D:$D,判定!$L$9)&gt;0,1,0)</f>
        <v>0</v>
      </c>
      <c r="Z186" s="221" t="str">
        <f>IF(Y186&gt;0,Y186*100+COUNTIF($Y$15:Y186,Y186),"")</f>
        <v/>
      </c>
      <c r="AA186" s="221" t="e">
        <f t="shared" si="6"/>
        <v>#NUM!</v>
      </c>
      <c r="AB186" s="226"/>
      <c r="AC186" s="226"/>
      <c r="AD186" s="226"/>
      <c r="AE186" s="226"/>
      <c r="AF186" s="226"/>
    </row>
    <row r="187" spans="1:32" x14ac:dyDescent="0.2">
      <c r="A187" s="221" t="str">
        <f>IF($D187="","",COUNTA($D$15:$D187))</f>
        <v/>
      </c>
      <c r="B187" s="235"/>
      <c r="C187" s="235"/>
      <c r="D187" s="235"/>
      <c r="E187" s="337"/>
      <c r="F187" s="337"/>
      <c r="G187" s="337"/>
      <c r="H187" s="338"/>
      <c r="I187" s="339" t="str">
        <f t="shared" si="7"/>
        <v/>
      </c>
      <c r="J187" s="236" t="str">
        <f ca="1">IFERROR(VLOOKUP($G187,INDIRECT("判定!"&amp;ADDRESS(ROW(判定!$N$2)+1,COLUMN(判定!$N$2)+MATCH($D187,判定!$N$2:$W$2,0)-1,4,1)&amp;":"&amp;ADDRESS(ROW(判定!$O$2)+4,COLUMN(判定!$N$2)+MATCH($D187,判定!$N$2:$W$2,0),4,1),1),2,1),"")</f>
        <v/>
      </c>
      <c r="K187" s="340"/>
      <c r="L187" s="341"/>
      <c r="M187" s="330"/>
      <c r="N187" s="330"/>
      <c r="O187" s="331"/>
      <c r="P187" s="237"/>
      <c r="Q187" s="234" t="str">
        <f>IF(COUNTIF(判定!$L$2:$L$9,$D187)&gt;0,$P187,"")</f>
        <v/>
      </c>
      <c r="R187" s="234" t="str">
        <f>IF(COUNTIF(判定!$L$10:$L$20,$D187)&gt;0,$P187,"")</f>
        <v/>
      </c>
      <c r="S187" s="234" t="str">
        <f>IF(COUNTIF(判定!$L$21,$D187)&gt;0,$P187,"")</f>
        <v/>
      </c>
      <c r="T187" s="341"/>
      <c r="V187" s="226"/>
      <c r="W187" s="221" t="str">
        <f>IF(OR($C187=判定!$K$2,$C187=判定!$K$3,$C187=判定!$K$4,$C187=判定!$K$5),"",IF(COUNTIF($C$15:$C187,$C187)=1,ROW(),""))</f>
        <v/>
      </c>
      <c r="X187" s="221">
        <f t="shared" si="5"/>
        <v>0</v>
      </c>
      <c r="Y187" s="221">
        <f>IF(COUNTIF($C:$C,$X187)&gt;0,1,0)+IF(OR(COUNTIFS($C:$C,$X187,$D:$D,判定!$L$2)&gt;0,COUNTIFS($C:$C,$X187,$D:$D,判定!$L$3)&gt;0,COUNTIFS($C:$C,$X187,$D:$D,判定!$L$4)&gt;0),1,0)+IF(COUNTIFS($C:$C,$X187,$D:$D,判定!$L$7)&gt;0,1,0)+IF(COUNTIFS($C:$C,$X187,$D:$D,判定!$L$8)&gt;0,1,0)+IF(COUNTIFS($C:$C,$X187,$D:$D,判定!$L$9)&gt;0,1,0)</f>
        <v>0</v>
      </c>
      <c r="Z187" s="221" t="str">
        <f>IF(Y187&gt;0,Y187*100+COUNTIF($Y$15:Y187,Y187),"")</f>
        <v/>
      </c>
      <c r="AA187" s="221" t="e">
        <f t="shared" si="6"/>
        <v>#NUM!</v>
      </c>
      <c r="AB187" s="226"/>
      <c r="AC187" s="226"/>
      <c r="AD187" s="226"/>
      <c r="AE187" s="226"/>
      <c r="AF187" s="226"/>
    </row>
    <row r="188" spans="1:32" x14ac:dyDescent="0.2">
      <c r="A188" s="221" t="str">
        <f>IF($D188="","",COUNTA($D$15:$D188))</f>
        <v/>
      </c>
      <c r="B188" s="235"/>
      <c r="C188" s="235"/>
      <c r="D188" s="235"/>
      <c r="E188" s="337"/>
      <c r="F188" s="337"/>
      <c r="G188" s="337"/>
      <c r="H188" s="338"/>
      <c r="I188" s="339" t="str">
        <f t="shared" si="7"/>
        <v/>
      </c>
      <c r="J188" s="236" t="str">
        <f ca="1">IFERROR(VLOOKUP($G188,INDIRECT("判定!"&amp;ADDRESS(ROW(判定!$N$2)+1,COLUMN(判定!$N$2)+MATCH($D188,判定!$N$2:$W$2,0)-1,4,1)&amp;":"&amp;ADDRESS(ROW(判定!$O$2)+4,COLUMN(判定!$N$2)+MATCH($D188,判定!$N$2:$W$2,0),4,1),1),2,1),"")</f>
        <v/>
      </c>
      <c r="K188" s="340"/>
      <c r="L188" s="341"/>
      <c r="M188" s="330"/>
      <c r="N188" s="330"/>
      <c r="O188" s="331"/>
      <c r="P188" s="237"/>
      <c r="Q188" s="234" t="str">
        <f>IF(COUNTIF(判定!$L$2:$L$9,$D188)&gt;0,$P188,"")</f>
        <v/>
      </c>
      <c r="R188" s="234" t="str">
        <f>IF(COUNTIF(判定!$L$10:$L$20,$D188)&gt;0,$P188,"")</f>
        <v/>
      </c>
      <c r="S188" s="234" t="str">
        <f>IF(COUNTIF(判定!$L$21,$D188)&gt;0,$P188,"")</f>
        <v/>
      </c>
      <c r="T188" s="341"/>
      <c r="V188" s="226"/>
      <c r="W188" s="221" t="str">
        <f>IF(OR($C188=判定!$K$2,$C188=判定!$K$3,$C188=判定!$K$4,$C188=判定!$K$5),"",IF(COUNTIF($C$15:$C188,$C188)=1,ROW(),""))</f>
        <v/>
      </c>
      <c r="X188" s="221">
        <f t="shared" si="5"/>
        <v>0</v>
      </c>
      <c r="Y188" s="221">
        <f>IF(COUNTIF($C:$C,$X188)&gt;0,1,0)+IF(OR(COUNTIFS($C:$C,$X188,$D:$D,判定!$L$2)&gt;0,COUNTIFS($C:$C,$X188,$D:$D,判定!$L$3)&gt;0,COUNTIFS($C:$C,$X188,$D:$D,判定!$L$4)&gt;0),1,0)+IF(COUNTIFS($C:$C,$X188,$D:$D,判定!$L$7)&gt;0,1,0)+IF(COUNTIFS($C:$C,$X188,$D:$D,判定!$L$8)&gt;0,1,0)+IF(COUNTIFS($C:$C,$X188,$D:$D,判定!$L$9)&gt;0,1,0)</f>
        <v>0</v>
      </c>
      <c r="Z188" s="221" t="str">
        <f>IF(Y188&gt;0,Y188*100+COUNTIF($Y$15:Y188,Y188),"")</f>
        <v/>
      </c>
      <c r="AA188" s="221" t="e">
        <f t="shared" si="6"/>
        <v>#NUM!</v>
      </c>
      <c r="AB188" s="226"/>
      <c r="AC188" s="226"/>
      <c r="AD188" s="226"/>
      <c r="AE188" s="226"/>
      <c r="AF188" s="226"/>
    </row>
    <row r="189" spans="1:32" x14ac:dyDescent="0.2">
      <c r="A189" s="221" t="str">
        <f>IF($D189="","",COUNTA($D$15:$D189))</f>
        <v/>
      </c>
      <c r="B189" s="235"/>
      <c r="C189" s="235"/>
      <c r="D189" s="235"/>
      <c r="E189" s="337"/>
      <c r="F189" s="337"/>
      <c r="G189" s="337"/>
      <c r="H189" s="338"/>
      <c r="I189" s="339" t="str">
        <f t="shared" si="7"/>
        <v/>
      </c>
      <c r="J189" s="236" t="str">
        <f ca="1">IFERROR(VLOOKUP($G189,INDIRECT("判定!"&amp;ADDRESS(ROW(判定!$N$2)+1,COLUMN(判定!$N$2)+MATCH($D189,判定!$N$2:$W$2,0)-1,4,1)&amp;":"&amp;ADDRESS(ROW(判定!$O$2)+4,COLUMN(判定!$N$2)+MATCH($D189,判定!$N$2:$W$2,0),4,1),1),2,1),"")</f>
        <v/>
      </c>
      <c r="K189" s="340"/>
      <c r="L189" s="341"/>
      <c r="M189" s="330"/>
      <c r="N189" s="330"/>
      <c r="O189" s="331"/>
      <c r="P189" s="237"/>
      <c r="Q189" s="234" t="str">
        <f>IF(COUNTIF(判定!$L$2:$L$9,$D189)&gt;0,$P189,"")</f>
        <v/>
      </c>
      <c r="R189" s="234" t="str">
        <f>IF(COUNTIF(判定!$L$10:$L$20,$D189)&gt;0,$P189,"")</f>
        <v/>
      </c>
      <c r="S189" s="234" t="str">
        <f>IF(COUNTIF(判定!$L$21,$D189)&gt;0,$P189,"")</f>
        <v/>
      </c>
      <c r="T189" s="341"/>
      <c r="V189" s="226"/>
      <c r="W189" s="221" t="str">
        <f>IF(OR($C189=判定!$K$2,$C189=判定!$K$3,$C189=判定!$K$4,$C189=判定!$K$5),"",IF(COUNTIF($C$15:$C189,$C189)=1,ROW(),""))</f>
        <v/>
      </c>
      <c r="X189" s="221">
        <f t="shared" si="5"/>
        <v>0</v>
      </c>
      <c r="Y189" s="221">
        <f>IF(COUNTIF($C:$C,$X189)&gt;0,1,0)+IF(OR(COUNTIFS($C:$C,$X189,$D:$D,判定!$L$2)&gt;0,COUNTIFS($C:$C,$X189,$D:$D,判定!$L$3)&gt;0,COUNTIFS($C:$C,$X189,$D:$D,判定!$L$4)&gt;0),1,0)+IF(COUNTIFS($C:$C,$X189,$D:$D,判定!$L$7)&gt;0,1,0)+IF(COUNTIFS($C:$C,$X189,$D:$D,判定!$L$8)&gt;0,1,0)+IF(COUNTIFS($C:$C,$X189,$D:$D,判定!$L$9)&gt;0,1,0)</f>
        <v>0</v>
      </c>
      <c r="Z189" s="221" t="str">
        <f>IF(Y189&gt;0,Y189*100+COUNTIF($Y$15:Y189,Y189),"")</f>
        <v/>
      </c>
      <c r="AA189" s="221" t="e">
        <f t="shared" si="6"/>
        <v>#NUM!</v>
      </c>
      <c r="AB189" s="226"/>
      <c r="AC189" s="226"/>
      <c r="AD189" s="226"/>
      <c r="AE189" s="226"/>
      <c r="AF189" s="226"/>
    </row>
    <row r="190" spans="1:32" x14ac:dyDescent="0.2">
      <c r="A190" s="221" t="str">
        <f>IF($D190="","",COUNTA($D$15:$D190))</f>
        <v/>
      </c>
      <c r="B190" s="235"/>
      <c r="C190" s="235"/>
      <c r="D190" s="235"/>
      <c r="E190" s="337"/>
      <c r="F190" s="337"/>
      <c r="G190" s="337"/>
      <c r="H190" s="338"/>
      <c r="I190" s="339" t="str">
        <f t="shared" si="7"/>
        <v/>
      </c>
      <c r="J190" s="236" t="str">
        <f ca="1">IFERROR(VLOOKUP($G190,INDIRECT("判定!"&amp;ADDRESS(ROW(判定!$N$2)+1,COLUMN(判定!$N$2)+MATCH($D190,判定!$N$2:$W$2,0)-1,4,1)&amp;":"&amp;ADDRESS(ROW(判定!$O$2)+4,COLUMN(判定!$N$2)+MATCH($D190,判定!$N$2:$W$2,0),4,1),1),2,1),"")</f>
        <v/>
      </c>
      <c r="K190" s="340"/>
      <c r="L190" s="341"/>
      <c r="M190" s="330"/>
      <c r="N190" s="330"/>
      <c r="O190" s="331"/>
      <c r="P190" s="237"/>
      <c r="Q190" s="234" t="str">
        <f>IF(COUNTIF(判定!$L$2:$L$9,$D190)&gt;0,$P190,"")</f>
        <v/>
      </c>
      <c r="R190" s="234" t="str">
        <f>IF(COUNTIF(判定!$L$10:$L$20,$D190)&gt;0,$P190,"")</f>
        <v/>
      </c>
      <c r="S190" s="234" t="str">
        <f>IF(COUNTIF(判定!$L$21,$D190)&gt;0,$P190,"")</f>
        <v/>
      </c>
      <c r="T190" s="341"/>
      <c r="V190" s="226"/>
      <c r="W190" s="221" t="str">
        <f>IF(OR($C190=判定!$K$2,$C190=判定!$K$3,$C190=判定!$K$4,$C190=判定!$K$5),"",IF(COUNTIF($C$15:$C190,$C190)=1,ROW(),""))</f>
        <v/>
      </c>
      <c r="X190" s="221">
        <f t="shared" si="5"/>
        <v>0</v>
      </c>
      <c r="Y190" s="221">
        <f>IF(COUNTIF($C:$C,$X190)&gt;0,1,0)+IF(OR(COUNTIFS($C:$C,$X190,$D:$D,判定!$L$2)&gt;0,COUNTIFS($C:$C,$X190,$D:$D,判定!$L$3)&gt;0,COUNTIFS($C:$C,$X190,$D:$D,判定!$L$4)&gt;0),1,0)+IF(COUNTIFS($C:$C,$X190,$D:$D,判定!$L$7)&gt;0,1,0)+IF(COUNTIFS($C:$C,$X190,$D:$D,判定!$L$8)&gt;0,1,0)+IF(COUNTIFS($C:$C,$X190,$D:$D,判定!$L$9)&gt;0,1,0)</f>
        <v>0</v>
      </c>
      <c r="Z190" s="221" t="str">
        <f>IF(Y190&gt;0,Y190*100+COUNTIF($Y$15:Y190,Y190),"")</f>
        <v/>
      </c>
      <c r="AA190" s="221" t="e">
        <f t="shared" si="6"/>
        <v>#NUM!</v>
      </c>
      <c r="AB190" s="226"/>
      <c r="AC190" s="226"/>
      <c r="AD190" s="226"/>
      <c r="AE190" s="226"/>
      <c r="AF190" s="226"/>
    </row>
    <row r="191" spans="1:32" x14ac:dyDescent="0.2">
      <c r="A191" s="221" t="str">
        <f>IF($D191="","",COUNTA($D$15:$D191))</f>
        <v/>
      </c>
      <c r="B191" s="235"/>
      <c r="C191" s="235"/>
      <c r="D191" s="235"/>
      <c r="E191" s="337"/>
      <c r="F191" s="337"/>
      <c r="G191" s="337"/>
      <c r="H191" s="338"/>
      <c r="I191" s="339" t="str">
        <f t="shared" si="7"/>
        <v/>
      </c>
      <c r="J191" s="236" t="str">
        <f ca="1">IFERROR(VLOOKUP($G191,INDIRECT("判定!"&amp;ADDRESS(ROW(判定!$N$2)+1,COLUMN(判定!$N$2)+MATCH($D191,判定!$N$2:$W$2,0)-1,4,1)&amp;":"&amp;ADDRESS(ROW(判定!$O$2)+4,COLUMN(判定!$N$2)+MATCH($D191,判定!$N$2:$W$2,0),4,1),1),2,1),"")</f>
        <v/>
      </c>
      <c r="K191" s="340"/>
      <c r="L191" s="341"/>
      <c r="M191" s="330"/>
      <c r="N191" s="330"/>
      <c r="O191" s="331"/>
      <c r="P191" s="237"/>
      <c r="Q191" s="234" t="str">
        <f>IF(COUNTIF(判定!$L$2:$L$9,$D191)&gt;0,$P191,"")</f>
        <v/>
      </c>
      <c r="R191" s="234" t="str">
        <f>IF(COUNTIF(判定!$L$10:$L$20,$D191)&gt;0,$P191,"")</f>
        <v/>
      </c>
      <c r="S191" s="234" t="str">
        <f>IF(COUNTIF(判定!$L$21,$D191)&gt;0,$P191,"")</f>
        <v/>
      </c>
      <c r="T191" s="341"/>
      <c r="V191" s="226"/>
      <c r="W191" s="221" t="str">
        <f>IF(OR($C191=判定!$K$2,$C191=判定!$K$3,$C191=判定!$K$4,$C191=判定!$K$5),"",IF(COUNTIF($C$15:$C191,$C191)=1,ROW(),""))</f>
        <v/>
      </c>
      <c r="X191" s="221">
        <f t="shared" si="5"/>
        <v>0</v>
      </c>
      <c r="Y191" s="221">
        <f>IF(COUNTIF($C:$C,$X191)&gt;0,1,0)+IF(OR(COUNTIFS($C:$C,$X191,$D:$D,判定!$L$2)&gt;0,COUNTIFS($C:$C,$X191,$D:$D,判定!$L$3)&gt;0,COUNTIFS($C:$C,$X191,$D:$D,判定!$L$4)&gt;0),1,0)+IF(COUNTIFS($C:$C,$X191,$D:$D,判定!$L$7)&gt;0,1,0)+IF(COUNTIFS($C:$C,$X191,$D:$D,判定!$L$8)&gt;0,1,0)+IF(COUNTIFS($C:$C,$X191,$D:$D,判定!$L$9)&gt;0,1,0)</f>
        <v>0</v>
      </c>
      <c r="Z191" s="221" t="str">
        <f>IF(Y191&gt;0,Y191*100+COUNTIF($Y$15:Y191,Y191),"")</f>
        <v/>
      </c>
      <c r="AA191" s="221" t="e">
        <f t="shared" si="6"/>
        <v>#NUM!</v>
      </c>
      <c r="AB191" s="226"/>
      <c r="AC191" s="226"/>
      <c r="AD191" s="226"/>
      <c r="AE191" s="226"/>
      <c r="AF191" s="226"/>
    </row>
    <row r="192" spans="1:32" x14ac:dyDescent="0.2">
      <c r="A192" s="221" t="str">
        <f>IF($D192="","",COUNTA($D$15:$D192))</f>
        <v/>
      </c>
      <c r="B192" s="235"/>
      <c r="C192" s="235"/>
      <c r="D192" s="235"/>
      <c r="E192" s="337"/>
      <c r="F192" s="337"/>
      <c r="G192" s="337"/>
      <c r="H192" s="338"/>
      <c r="I192" s="339" t="str">
        <f t="shared" si="7"/>
        <v/>
      </c>
      <c r="J192" s="236" t="str">
        <f ca="1">IFERROR(VLOOKUP($G192,INDIRECT("判定!"&amp;ADDRESS(ROW(判定!$N$2)+1,COLUMN(判定!$N$2)+MATCH($D192,判定!$N$2:$W$2,0)-1,4,1)&amp;":"&amp;ADDRESS(ROW(判定!$O$2)+4,COLUMN(判定!$N$2)+MATCH($D192,判定!$N$2:$W$2,0),4,1),1),2,1),"")</f>
        <v/>
      </c>
      <c r="K192" s="340"/>
      <c r="L192" s="341"/>
      <c r="M192" s="330"/>
      <c r="N192" s="330"/>
      <c r="O192" s="331"/>
      <c r="P192" s="237"/>
      <c r="Q192" s="234" t="str">
        <f>IF(COUNTIF(判定!$L$2:$L$9,$D192)&gt;0,$P192,"")</f>
        <v/>
      </c>
      <c r="R192" s="234" t="str">
        <f>IF(COUNTIF(判定!$L$10:$L$20,$D192)&gt;0,$P192,"")</f>
        <v/>
      </c>
      <c r="S192" s="234" t="str">
        <f>IF(COUNTIF(判定!$L$21,$D192)&gt;0,$P192,"")</f>
        <v/>
      </c>
      <c r="T192" s="341"/>
      <c r="V192" s="226"/>
      <c r="W192" s="221" t="str">
        <f>IF(OR($C192=判定!$K$2,$C192=判定!$K$3,$C192=判定!$K$4,$C192=判定!$K$5),"",IF(COUNTIF($C$15:$C192,$C192)=1,ROW(),""))</f>
        <v/>
      </c>
      <c r="X192" s="221">
        <f t="shared" si="5"/>
        <v>0</v>
      </c>
      <c r="Y192" s="221">
        <f>IF(COUNTIF($C:$C,$X192)&gt;0,1,0)+IF(OR(COUNTIFS($C:$C,$X192,$D:$D,判定!$L$2)&gt;0,COUNTIFS($C:$C,$X192,$D:$D,判定!$L$3)&gt;0,COUNTIFS($C:$C,$X192,$D:$D,判定!$L$4)&gt;0),1,0)+IF(COUNTIFS($C:$C,$X192,$D:$D,判定!$L$7)&gt;0,1,0)+IF(COUNTIFS($C:$C,$X192,$D:$D,判定!$L$8)&gt;0,1,0)+IF(COUNTIFS($C:$C,$X192,$D:$D,判定!$L$9)&gt;0,1,0)</f>
        <v>0</v>
      </c>
      <c r="Z192" s="221" t="str">
        <f>IF(Y192&gt;0,Y192*100+COUNTIF($Y$15:Y192,Y192),"")</f>
        <v/>
      </c>
      <c r="AA192" s="221" t="e">
        <f t="shared" si="6"/>
        <v>#NUM!</v>
      </c>
      <c r="AB192" s="226"/>
      <c r="AC192" s="226"/>
      <c r="AD192" s="226"/>
      <c r="AE192" s="226"/>
      <c r="AF192" s="226"/>
    </row>
    <row r="193" spans="1:32" x14ac:dyDescent="0.2">
      <c r="A193" s="221" t="str">
        <f>IF($D193="","",COUNTA($D$15:$D193))</f>
        <v/>
      </c>
      <c r="B193" s="235"/>
      <c r="C193" s="235"/>
      <c r="D193" s="235"/>
      <c r="E193" s="337"/>
      <c r="F193" s="337"/>
      <c r="G193" s="337"/>
      <c r="H193" s="338"/>
      <c r="I193" s="339" t="str">
        <f t="shared" si="7"/>
        <v/>
      </c>
      <c r="J193" s="236" t="str">
        <f ca="1">IFERROR(VLOOKUP($G193,INDIRECT("判定!"&amp;ADDRESS(ROW(判定!$N$2)+1,COLUMN(判定!$N$2)+MATCH($D193,判定!$N$2:$W$2,0)-1,4,1)&amp;":"&amp;ADDRESS(ROW(判定!$O$2)+4,COLUMN(判定!$N$2)+MATCH($D193,判定!$N$2:$W$2,0),4,1),1),2,1),"")</f>
        <v/>
      </c>
      <c r="K193" s="340"/>
      <c r="L193" s="341"/>
      <c r="M193" s="330"/>
      <c r="N193" s="330"/>
      <c r="O193" s="331"/>
      <c r="P193" s="237"/>
      <c r="Q193" s="234" t="str">
        <f>IF(COUNTIF(判定!$L$2:$L$9,$D193)&gt;0,$P193,"")</f>
        <v/>
      </c>
      <c r="R193" s="234" t="str">
        <f>IF(COUNTIF(判定!$L$10:$L$20,$D193)&gt;0,$P193,"")</f>
        <v/>
      </c>
      <c r="S193" s="234" t="str">
        <f>IF(COUNTIF(判定!$L$21,$D193)&gt;0,$P193,"")</f>
        <v/>
      </c>
      <c r="T193" s="341"/>
      <c r="V193" s="226"/>
      <c r="W193" s="221" t="str">
        <f>IF(OR($C193=判定!$K$2,$C193=判定!$K$3,$C193=判定!$K$4,$C193=判定!$K$5),"",IF(COUNTIF($C$15:$C193,$C193)=1,ROW(),""))</f>
        <v/>
      </c>
      <c r="X193" s="221">
        <f t="shared" si="5"/>
        <v>0</v>
      </c>
      <c r="Y193" s="221">
        <f>IF(COUNTIF($C:$C,$X193)&gt;0,1,0)+IF(OR(COUNTIFS($C:$C,$X193,$D:$D,判定!$L$2)&gt;0,COUNTIFS($C:$C,$X193,$D:$D,判定!$L$3)&gt;0,COUNTIFS($C:$C,$X193,$D:$D,判定!$L$4)&gt;0),1,0)+IF(COUNTIFS($C:$C,$X193,$D:$D,判定!$L$7)&gt;0,1,0)+IF(COUNTIFS($C:$C,$X193,$D:$D,判定!$L$8)&gt;0,1,0)+IF(COUNTIFS($C:$C,$X193,$D:$D,判定!$L$9)&gt;0,1,0)</f>
        <v>0</v>
      </c>
      <c r="Z193" s="221" t="str">
        <f>IF(Y193&gt;0,Y193*100+COUNTIF($Y$15:Y193,Y193),"")</f>
        <v/>
      </c>
      <c r="AA193" s="221" t="e">
        <f t="shared" si="6"/>
        <v>#NUM!</v>
      </c>
      <c r="AB193" s="226"/>
      <c r="AC193" s="226"/>
      <c r="AD193" s="226"/>
      <c r="AE193" s="226"/>
      <c r="AF193" s="226"/>
    </row>
    <row r="194" spans="1:32" x14ac:dyDescent="0.2">
      <c r="A194" s="221" t="str">
        <f>IF($D194="","",COUNTA($D$15:$D194))</f>
        <v/>
      </c>
      <c r="B194" s="235"/>
      <c r="C194" s="235"/>
      <c r="D194" s="235"/>
      <c r="E194" s="337"/>
      <c r="F194" s="337"/>
      <c r="G194" s="337"/>
      <c r="H194" s="338"/>
      <c r="I194" s="339" t="str">
        <f t="shared" si="7"/>
        <v/>
      </c>
      <c r="J194" s="236" t="str">
        <f ca="1">IFERROR(VLOOKUP($G194,INDIRECT("判定!"&amp;ADDRESS(ROW(判定!$N$2)+1,COLUMN(判定!$N$2)+MATCH($D194,判定!$N$2:$W$2,0)-1,4,1)&amp;":"&amp;ADDRESS(ROW(判定!$O$2)+4,COLUMN(判定!$N$2)+MATCH($D194,判定!$N$2:$W$2,0),4,1),1),2,1),"")</f>
        <v/>
      </c>
      <c r="K194" s="340"/>
      <c r="L194" s="341"/>
      <c r="M194" s="330"/>
      <c r="N194" s="330"/>
      <c r="O194" s="331"/>
      <c r="P194" s="237"/>
      <c r="Q194" s="234" t="str">
        <f>IF(COUNTIF(判定!$L$2:$L$9,$D194)&gt;0,$P194,"")</f>
        <v/>
      </c>
      <c r="R194" s="234" t="str">
        <f>IF(COUNTIF(判定!$L$10:$L$20,$D194)&gt;0,$P194,"")</f>
        <v/>
      </c>
      <c r="S194" s="234" t="str">
        <f>IF(COUNTIF(判定!$L$21,$D194)&gt;0,$P194,"")</f>
        <v/>
      </c>
      <c r="T194" s="341"/>
      <c r="V194" s="226"/>
      <c r="W194" s="221" t="str">
        <f>IF(OR($C194=判定!$K$2,$C194=判定!$K$3,$C194=判定!$K$4,$C194=判定!$K$5),"",IF(COUNTIF($C$15:$C194,$C194)=1,ROW(),""))</f>
        <v/>
      </c>
      <c r="X194" s="221">
        <f t="shared" si="5"/>
        <v>0</v>
      </c>
      <c r="Y194" s="221">
        <f>IF(COUNTIF($C:$C,$X194)&gt;0,1,0)+IF(OR(COUNTIFS($C:$C,$X194,$D:$D,判定!$L$2)&gt;0,COUNTIFS($C:$C,$X194,$D:$D,判定!$L$3)&gt;0,COUNTIFS($C:$C,$X194,$D:$D,判定!$L$4)&gt;0),1,0)+IF(COUNTIFS($C:$C,$X194,$D:$D,判定!$L$7)&gt;0,1,0)+IF(COUNTIFS($C:$C,$X194,$D:$D,判定!$L$8)&gt;0,1,0)+IF(COUNTIFS($C:$C,$X194,$D:$D,判定!$L$9)&gt;0,1,0)</f>
        <v>0</v>
      </c>
      <c r="Z194" s="221" t="str">
        <f>IF(Y194&gt;0,Y194*100+COUNTIF($Y$15:Y194,Y194),"")</f>
        <v/>
      </c>
      <c r="AA194" s="221" t="e">
        <f t="shared" si="6"/>
        <v>#NUM!</v>
      </c>
      <c r="AB194" s="226"/>
      <c r="AC194" s="226"/>
      <c r="AD194" s="226"/>
      <c r="AE194" s="226"/>
      <c r="AF194" s="226"/>
    </row>
    <row r="195" spans="1:32" x14ac:dyDescent="0.2">
      <c r="A195" s="221" t="str">
        <f>IF($D195="","",COUNTA($D$15:$D195))</f>
        <v/>
      </c>
      <c r="B195" s="235"/>
      <c r="C195" s="235"/>
      <c r="D195" s="235"/>
      <c r="E195" s="337"/>
      <c r="F195" s="337"/>
      <c r="G195" s="337"/>
      <c r="H195" s="338"/>
      <c r="I195" s="339" t="str">
        <f t="shared" si="7"/>
        <v/>
      </c>
      <c r="J195" s="236" t="str">
        <f ca="1">IFERROR(VLOOKUP($G195,INDIRECT("判定!"&amp;ADDRESS(ROW(判定!$N$2)+1,COLUMN(判定!$N$2)+MATCH($D195,判定!$N$2:$W$2,0)-1,4,1)&amp;":"&amp;ADDRESS(ROW(判定!$O$2)+4,COLUMN(判定!$N$2)+MATCH($D195,判定!$N$2:$W$2,0),4,1),1),2,1),"")</f>
        <v/>
      </c>
      <c r="K195" s="340"/>
      <c r="L195" s="341"/>
      <c r="M195" s="330"/>
      <c r="N195" s="330"/>
      <c r="O195" s="331"/>
      <c r="P195" s="237"/>
      <c r="Q195" s="234" t="str">
        <f>IF(COUNTIF(判定!$L$2:$L$9,$D195)&gt;0,$P195,"")</f>
        <v/>
      </c>
      <c r="R195" s="234" t="str">
        <f>IF(COUNTIF(判定!$L$10:$L$20,$D195)&gt;0,$P195,"")</f>
        <v/>
      </c>
      <c r="S195" s="234" t="str">
        <f>IF(COUNTIF(判定!$L$21,$D195)&gt;0,$P195,"")</f>
        <v/>
      </c>
      <c r="T195" s="341"/>
      <c r="V195" s="226"/>
      <c r="W195" s="221" t="str">
        <f>IF(OR($C195=判定!$K$2,$C195=判定!$K$3,$C195=判定!$K$4,$C195=判定!$K$5),"",IF(COUNTIF($C$15:$C195,$C195)=1,ROW(),""))</f>
        <v/>
      </c>
      <c r="X195" s="221">
        <f t="shared" si="5"/>
        <v>0</v>
      </c>
      <c r="Y195" s="221">
        <f>IF(COUNTIF($C:$C,$X195)&gt;0,1,0)+IF(OR(COUNTIFS($C:$C,$X195,$D:$D,判定!$L$2)&gt;0,COUNTIFS($C:$C,$X195,$D:$D,判定!$L$3)&gt;0,COUNTIFS($C:$C,$X195,$D:$D,判定!$L$4)&gt;0),1,0)+IF(COUNTIFS($C:$C,$X195,$D:$D,判定!$L$7)&gt;0,1,0)+IF(COUNTIFS($C:$C,$X195,$D:$D,判定!$L$8)&gt;0,1,0)+IF(COUNTIFS($C:$C,$X195,$D:$D,判定!$L$9)&gt;0,1,0)</f>
        <v>0</v>
      </c>
      <c r="Z195" s="221" t="str">
        <f>IF(Y195&gt;0,Y195*100+COUNTIF($Y$15:Y195,Y195),"")</f>
        <v/>
      </c>
      <c r="AA195" s="221" t="e">
        <f t="shared" si="6"/>
        <v>#NUM!</v>
      </c>
      <c r="AB195" s="226"/>
      <c r="AC195" s="226"/>
      <c r="AD195" s="226"/>
      <c r="AE195" s="226"/>
      <c r="AF195" s="226"/>
    </row>
    <row r="196" spans="1:32" x14ac:dyDescent="0.2">
      <c r="A196" s="221" t="str">
        <f>IF($D196="","",COUNTA($D$15:$D196))</f>
        <v/>
      </c>
      <c r="B196" s="235"/>
      <c r="C196" s="235"/>
      <c r="D196" s="235"/>
      <c r="E196" s="337"/>
      <c r="F196" s="337"/>
      <c r="G196" s="337"/>
      <c r="H196" s="338"/>
      <c r="I196" s="339" t="str">
        <f t="shared" si="7"/>
        <v/>
      </c>
      <c r="J196" s="236" t="str">
        <f ca="1">IFERROR(VLOOKUP($G196,INDIRECT("判定!"&amp;ADDRESS(ROW(判定!$N$2)+1,COLUMN(判定!$N$2)+MATCH($D196,判定!$N$2:$W$2,0)-1,4,1)&amp;":"&amp;ADDRESS(ROW(判定!$O$2)+4,COLUMN(判定!$N$2)+MATCH($D196,判定!$N$2:$W$2,0),4,1),1),2,1),"")</f>
        <v/>
      </c>
      <c r="K196" s="340"/>
      <c r="L196" s="341"/>
      <c r="M196" s="330"/>
      <c r="N196" s="330"/>
      <c r="O196" s="331"/>
      <c r="P196" s="237"/>
      <c r="Q196" s="234" t="str">
        <f>IF(COUNTIF(判定!$L$2:$L$9,$D196)&gt;0,$P196,"")</f>
        <v/>
      </c>
      <c r="R196" s="234" t="str">
        <f>IF(COUNTIF(判定!$L$10:$L$20,$D196)&gt;0,$P196,"")</f>
        <v/>
      </c>
      <c r="S196" s="234" t="str">
        <f>IF(COUNTIF(判定!$L$21,$D196)&gt;0,$P196,"")</f>
        <v/>
      </c>
      <c r="T196" s="341"/>
      <c r="V196" s="226"/>
      <c r="W196" s="221" t="str">
        <f>IF(OR($C196=判定!$K$2,$C196=判定!$K$3,$C196=判定!$K$4,$C196=判定!$K$5),"",IF(COUNTIF($C$15:$C196,$C196)=1,ROW(),""))</f>
        <v/>
      </c>
      <c r="X196" s="221">
        <f t="shared" si="5"/>
        <v>0</v>
      </c>
      <c r="Y196" s="221">
        <f>IF(COUNTIF($C:$C,$X196)&gt;0,1,0)+IF(OR(COUNTIFS($C:$C,$X196,$D:$D,判定!$L$2)&gt;0,COUNTIFS($C:$C,$X196,$D:$D,判定!$L$3)&gt;0,COUNTIFS($C:$C,$X196,$D:$D,判定!$L$4)&gt;0),1,0)+IF(COUNTIFS($C:$C,$X196,$D:$D,判定!$L$7)&gt;0,1,0)+IF(COUNTIFS($C:$C,$X196,$D:$D,判定!$L$8)&gt;0,1,0)+IF(COUNTIFS($C:$C,$X196,$D:$D,判定!$L$9)&gt;0,1,0)</f>
        <v>0</v>
      </c>
      <c r="Z196" s="221" t="str">
        <f>IF(Y196&gt;0,Y196*100+COUNTIF($Y$15:Y196,Y196),"")</f>
        <v/>
      </c>
      <c r="AA196" s="221" t="e">
        <f t="shared" si="6"/>
        <v>#NUM!</v>
      </c>
      <c r="AB196" s="226"/>
      <c r="AC196" s="226"/>
      <c r="AD196" s="226"/>
      <c r="AE196" s="226"/>
      <c r="AF196" s="226"/>
    </row>
    <row r="197" spans="1:32" x14ac:dyDescent="0.2">
      <c r="A197" s="221" t="str">
        <f>IF($D197="","",COUNTA($D$15:$D197))</f>
        <v/>
      </c>
      <c r="B197" s="235"/>
      <c r="C197" s="235"/>
      <c r="D197" s="235"/>
      <c r="E197" s="337"/>
      <c r="F197" s="337"/>
      <c r="G197" s="337"/>
      <c r="H197" s="338"/>
      <c r="I197" s="339" t="str">
        <f t="shared" si="7"/>
        <v/>
      </c>
      <c r="J197" s="236" t="str">
        <f ca="1">IFERROR(VLOOKUP($G197,INDIRECT("判定!"&amp;ADDRESS(ROW(判定!$N$2)+1,COLUMN(判定!$N$2)+MATCH($D197,判定!$N$2:$W$2,0)-1,4,1)&amp;":"&amp;ADDRESS(ROW(判定!$O$2)+4,COLUMN(判定!$N$2)+MATCH($D197,判定!$N$2:$W$2,0),4,1),1),2,1),"")</f>
        <v/>
      </c>
      <c r="K197" s="340"/>
      <c r="L197" s="341"/>
      <c r="M197" s="330"/>
      <c r="N197" s="330"/>
      <c r="O197" s="331"/>
      <c r="P197" s="237"/>
      <c r="Q197" s="234" t="str">
        <f>IF(COUNTIF(判定!$L$2:$L$9,$D197)&gt;0,$P197,"")</f>
        <v/>
      </c>
      <c r="R197" s="234" t="str">
        <f>IF(COUNTIF(判定!$L$10:$L$20,$D197)&gt;0,$P197,"")</f>
        <v/>
      </c>
      <c r="S197" s="234" t="str">
        <f>IF(COUNTIF(判定!$L$21,$D197)&gt;0,$P197,"")</f>
        <v/>
      </c>
      <c r="T197" s="341"/>
      <c r="V197" s="226"/>
      <c r="W197" s="221" t="str">
        <f>IF(OR($C197=判定!$K$2,$C197=判定!$K$3,$C197=判定!$K$4,$C197=判定!$K$5),"",IF(COUNTIF($C$15:$C197,$C197)=1,ROW(),""))</f>
        <v/>
      </c>
      <c r="X197" s="221">
        <f t="shared" si="5"/>
        <v>0</v>
      </c>
      <c r="Y197" s="221">
        <f>IF(COUNTIF($C:$C,$X197)&gt;0,1,0)+IF(OR(COUNTIFS($C:$C,$X197,$D:$D,判定!$L$2)&gt;0,COUNTIFS($C:$C,$X197,$D:$D,判定!$L$3)&gt;0,COUNTIFS($C:$C,$X197,$D:$D,判定!$L$4)&gt;0),1,0)+IF(COUNTIFS($C:$C,$X197,$D:$D,判定!$L$7)&gt;0,1,0)+IF(COUNTIFS($C:$C,$X197,$D:$D,判定!$L$8)&gt;0,1,0)+IF(COUNTIFS($C:$C,$X197,$D:$D,判定!$L$9)&gt;0,1,0)</f>
        <v>0</v>
      </c>
      <c r="Z197" s="221" t="str">
        <f>IF(Y197&gt;0,Y197*100+COUNTIF($Y$15:Y197,Y197),"")</f>
        <v/>
      </c>
      <c r="AA197" s="221" t="e">
        <f t="shared" si="6"/>
        <v>#NUM!</v>
      </c>
      <c r="AB197" s="226"/>
      <c r="AC197" s="226"/>
      <c r="AD197" s="226"/>
      <c r="AE197" s="226"/>
      <c r="AF197" s="226"/>
    </row>
    <row r="198" spans="1:32" x14ac:dyDescent="0.2">
      <c r="A198" s="221" t="str">
        <f>IF($D198="","",COUNTA($D$15:$D198))</f>
        <v/>
      </c>
      <c r="B198" s="235"/>
      <c r="C198" s="235"/>
      <c r="D198" s="235"/>
      <c r="E198" s="337"/>
      <c r="F198" s="337"/>
      <c r="G198" s="337"/>
      <c r="H198" s="338"/>
      <c r="I198" s="339" t="str">
        <f t="shared" si="7"/>
        <v/>
      </c>
      <c r="J198" s="236" t="str">
        <f ca="1">IFERROR(VLOOKUP($G198,INDIRECT("判定!"&amp;ADDRESS(ROW(判定!$N$2)+1,COLUMN(判定!$N$2)+MATCH($D198,判定!$N$2:$W$2,0)-1,4,1)&amp;":"&amp;ADDRESS(ROW(判定!$O$2)+4,COLUMN(判定!$N$2)+MATCH($D198,判定!$N$2:$W$2,0),4,1),1),2,1),"")</f>
        <v/>
      </c>
      <c r="K198" s="340"/>
      <c r="L198" s="341"/>
      <c r="M198" s="330"/>
      <c r="N198" s="330"/>
      <c r="O198" s="331"/>
      <c r="P198" s="237"/>
      <c r="Q198" s="234" t="str">
        <f>IF(COUNTIF(判定!$L$2:$L$9,$D198)&gt;0,$P198,"")</f>
        <v/>
      </c>
      <c r="R198" s="234" t="str">
        <f>IF(COUNTIF(判定!$L$10:$L$20,$D198)&gt;0,$P198,"")</f>
        <v/>
      </c>
      <c r="S198" s="234" t="str">
        <f>IF(COUNTIF(判定!$L$21,$D198)&gt;0,$P198,"")</f>
        <v/>
      </c>
      <c r="T198" s="341"/>
      <c r="V198" s="226"/>
      <c r="W198" s="221" t="str">
        <f>IF(OR($C198=判定!$K$2,$C198=判定!$K$3,$C198=判定!$K$4,$C198=判定!$K$5),"",IF(COUNTIF($C$15:$C198,$C198)=1,ROW(),""))</f>
        <v/>
      </c>
      <c r="X198" s="221">
        <f t="shared" si="5"/>
        <v>0</v>
      </c>
      <c r="Y198" s="221">
        <f>IF(COUNTIF($C:$C,$X198)&gt;0,1,0)+IF(OR(COUNTIFS($C:$C,$X198,$D:$D,判定!$L$2)&gt;0,COUNTIFS($C:$C,$X198,$D:$D,判定!$L$3)&gt;0,COUNTIFS($C:$C,$X198,$D:$D,判定!$L$4)&gt;0),1,0)+IF(COUNTIFS($C:$C,$X198,$D:$D,判定!$L$7)&gt;0,1,0)+IF(COUNTIFS($C:$C,$X198,$D:$D,判定!$L$8)&gt;0,1,0)+IF(COUNTIFS($C:$C,$X198,$D:$D,判定!$L$9)&gt;0,1,0)</f>
        <v>0</v>
      </c>
      <c r="Z198" s="221" t="str">
        <f>IF(Y198&gt;0,Y198*100+COUNTIF($Y$15:Y198,Y198),"")</f>
        <v/>
      </c>
      <c r="AA198" s="221" t="e">
        <f t="shared" si="6"/>
        <v>#NUM!</v>
      </c>
      <c r="AB198" s="226"/>
      <c r="AC198" s="226"/>
      <c r="AD198" s="226"/>
      <c r="AE198" s="226"/>
      <c r="AF198" s="226"/>
    </row>
    <row r="199" spans="1:32" x14ac:dyDescent="0.2">
      <c r="A199" s="221" t="str">
        <f>IF($D199="","",COUNTA($D$15:$D199))</f>
        <v/>
      </c>
      <c r="B199" s="235"/>
      <c r="C199" s="235"/>
      <c r="D199" s="235"/>
      <c r="E199" s="337"/>
      <c r="F199" s="337"/>
      <c r="G199" s="337"/>
      <c r="H199" s="338"/>
      <c r="I199" s="339" t="str">
        <f t="shared" si="7"/>
        <v/>
      </c>
      <c r="J199" s="236" t="str">
        <f ca="1">IFERROR(VLOOKUP($G199,INDIRECT("判定!"&amp;ADDRESS(ROW(判定!$N$2)+1,COLUMN(判定!$N$2)+MATCH($D199,判定!$N$2:$W$2,0)-1,4,1)&amp;":"&amp;ADDRESS(ROW(判定!$O$2)+4,COLUMN(判定!$N$2)+MATCH($D199,判定!$N$2:$W$2,0),4,1),1),2,1),"")</f>
        <v/>
      </c>
      <c r="K199" s="340"/>
      <c r="L199" s="341"/>
      <c r="M199" s="330"/>
      <c r="N199" s="330"/>
      <c r="O199" s="331"/>
      <c r="P199" s="237"/>
      <c r="Q199" s="234" t="str">
        <f>IF(COUNTIF(判定!$L$2:$L$9,$D199)&gt;0,$P199,"")</f>
        <v/>
      </c>
      <c r="R199" s="234" t="str">
        <f>IF(COUNTIF(判定!$L$10:$L$20,$D199)&gt;0,$P199,"")</f>
        <v/>
      </c>
      <c r="S199" s="234" t="str">
        <f>IF(COUNTIF(判定!$L$21,$D199)&gt;0,$P199,"")</f>
        <v/>
      </c>
      <c r="T199" s="341"/>
      <c r="V199" s="226"/>
      <c r="W199" s="221" t="str">
        <f>IF(OR($C199=判定!$K$2,$C199=判定!$K$3,$C199=判定!$K$4,$C199=判定!$K$5),"",IF(COUNTIF($C$15:$C199,$C199)=1,ROW(),""))</f>
        <v/>
      </c>
      <c r="X199" s="221">
        <f t="shared" si="5"/>
        <v>0</v>
      </c>
      <c r="Y199" s="221">
        <f>IF(COUNTIF($C:$C,$X199)&gt;0,1,0)+IF(OR(COUNTIFS($C:$C,$X199,$D:$D,判定!$L$2)&gt;0,COUNTIFS($C:$C,$X199,$D:$D,判定!$L$3)&gt;0,COUNTIFS($C:$C,$X199,$D:$D,判定!$L$4)&gt;0),1,0)+IF(COUNTIFS($C:$C,$X199,$D:$D,判定!$L$7)&gt;0,1,0)+IF(COUNTIFS($C:$C,$X199,$D:$D,判定!$L$8)&gt;0,1,0)+IF(COUNTIFS($C:$C,$X199,$D:$D,判定!$L$9)&gt;0,1,0)</f>
        <v>0</v>
      </c>
      <c r="Z199" s="221" t="str">
        <f>IF(Y199&gt;0,Y199*100+COUNTIF($Y$15:Y199,Y199),"")</f>
        <v/>
      </c>
      <c r="AA199" s="221" t="e">
        <f t="shared" si="6"/>
        <v>#NUM!</v>
      </c>
      <c r="AB199" s="226"/>
      <c r="AC199" s="226"/>
      <c r="AD199" s="226"/>
      <c r="AE199" s="226"/>
      <c r="AF199" s="226"/>
    </row>
    <row r="200" spans="1:32" x14ac:dyDescent="0.2">
      <c r="A200" s="221" t="str">
        <f>IF($D200="","",COUNTA($D$15:$D200))</f>
        <v/>
      </c>
      <c r="B200" s="235"/>
      <c r="C200" s="235"/>
      <c r="D200" s="235"/>
      <c r="E200" s="337"/>
      <c r="F200" s="337"/>
      <c r="G200" s="337"/>
      <c r="H200" s="338"/>
      <c r="I200" s="339" t="str">
        <f t="shared" si="7"/>
        <v/>
      </c>
      <c r="J200" s="236" t="str">
        <f ca="1">IFERROR(VLOOKUP($G200,INDIRECT("判定!"&amp;ADDRESS(ROW(判定!$N$2)+1,COLUMN(判定!$N$2)+MATCH($D200,判定!$N$2:$W$2,0)-1,4,1)&amp;":"&amp;ADDRESS(ROW(判定!$O$2)+4,COLUMN(判定!$N$2)+MATCH($D200,判定!$N$2:$W$2,0),4,1),1),2,1),"")</f>
        <v/>
      </c>
      <c r="K200" s="340"/>
      <c r="L200" s="341"/>
      <c r="M200" s="330"/>
      <c r="N200" s="330"/>
      <c r="O200" s="331"/>
      <c r="P200" s="237"/>
      <c r="Q200" s="234" t="str">
        <f>IF(COUNTIF(判定!$L$2:$L$9,$D200)&gt;0,$P200,"")</f>
        <v/>
      </c>
      <c r="R200" s="234" t="str">
        <f>IF(COUNTIF(判定!$L$10:$L$20,$D200)&gt;0,$P200,"")</f>
        <v/>
      </c>
      <c r="S200" s="234" t="str">
        <f>IF(COUNTIF(判定!$L$21,$D200)&gt;0,$P200,"")</f>
        <v/>
      </c>
      <c r="T200" s="341"/>
      <c r="V200" s="226"/>
      <c r="W200" s="221" t="str">
        <f>IF(OR($C200=判定!$K$2,$C200=判定!$K$3,$C200=判定!$K$4,$C200=判定!$K$5),"",IF(COUNTIF($C$15:$C200,$C200)=1,ROW(),""))</f>
        <v/>
      </c>
      <c r="X200" s="221">
        <f t="shared" si="5"/>
        <v>0</v>
      </c>
      <c r="Y200" s="221">
        <f>IF(COUNTIF($C:$C,$X200)&gt;0,1,0)+IF(OR(COUNTIFS($C:$C,$X200,$D:$D,判定!$L$2)&gt;0,COUNTIFS($C:$C,$X200,$D:$D,判定!$L$3)&gt;0,COUNTIFS($C:$C,$X200,$D:$D,判定!$L$4)&gt;0),1,0)+IF(COUNTIFS($C:$C,$X200,$D:$D,判定!$L$7)&gt;0,1,0)+IF(COUNTIFS($C:$C,$X200,$D:$D,判定!$L$8)&gt;0,1,0)+IF(COUNTIFS($C:$C,$X200,$D:$D,判定!$L$9)&gt;0,1,0)</f>
        <v>0</v>
      </c>
      <c r="Z200" s="221" t="str">
        <f>IF(Y200&gt;0,Y200*100+COUNTIF($Y$15:Y200,Y200),"")</f>
        <v/>
      </c>
      <c r="AA200" s="221" t="e">
        <f t="shared" si="6"/>
        <v>#NUM!</v>
      </c>
      <c r="AB200" s="226"/>
      <c r="AC200" s="226"/>
      <c r="AD200" s="226"/>
      <c r="AE200" s="226"/>
      <c r="AF200" s="226"/>
    </row>
    <row r="201" spans="1:32" x14ac:dyDescent="0.2">
      <c r="A201" s="221" t="str">
        <f>IF($D201="","",COUNTA($D$15:$D201))</f>
        <v/>
      </c>
      <c r="B201" s="235"/>
      <c r="C201" s="235"/>
      <c r="D201" s="235"/>
      <c r="E201" s="337"/>
      <c r="F201" s="337"/>
      <c r="G201" s="337"/>
      <c r="H201" s="338"/>
      <c r="I201" s="339" t="str">
        <f t="shared" si="7"/>
        <v/>
      </c>
      <c r="J201" s="236" t="str">
        <f ca="1">IFERROR(VLOOKUP($G201,INDIRECT("判定!"&amp;ADDRESS(ROW(判定!$N$2)+1,COLUMN(判定!$N$2)+MATCH($D201,判定!$N$2:$W$2,0)-1,4,1)&amp;":"&amp;ADDRESS(ROW(判定!$O$2)+4,COLUMN(判定!$N$2)+MATCH($D201,判定!$N$2:$W$2,0),4,1),1),2,1),"")</f>
        <v/>
      </c>
      <c r="K201" s="340"/>
      <c r="L201" s="341"/>
      <c r="M201" s="330"/>
      <c r="N201" s="330"/>
      <c r="O201" s="331"/>
      <c r="P201" s="237"/>
      <c r="Q201" s="234" t="str">
        <f>IF(COUNTIF(判定!$L$2:$L$9,$D201)&gt;0,$P201,"")</f>
        <v/>
      </c>
      <c r="R201" s="234" t="str">
        <f>IF(COUNTIF(判定!$L$10:$L$20,$D201)&gt;0,$P201,"")</f>
        <v/>
      </c>
      <c r="S201" s="234" t="str">
        <f>IF(COUNTIF(判定!$L$21,$D201)&gt;0,$P201,"")</f>
        <v/>
      </c>
      <c r="T201" s="341"/>
      <c r="V201" s="226"/>
      <c r="W201" s="221" t="str">
        <f>IF(OR($C201=判定!$K$2,$C201=判定!$K$3,$C201=判定!$K$4,$C201=判定!$K$5),"",IF(COUNTIF($C$15:$C201,$C201)=1,ROW(),""))</f>
        <v/>
      </c>
      <c r="X201" s="221">
        <f t="shared" si="5"/>
        <v>0</v>
      </c>
      <c r="Y201" s="221">
        <f>IF(COUNTIF($C:$C,$X201)&gt;0,1,0)+IF(OR(COUNTIFS($C:$C,$X201,$D:$D,判定!$L$2)&gt;0,COUNTIFS($C:$C,$X201,$D:$D,判定!$L$3)&gt;0,COUNTIFS($C:$C,$X201,$D:$D,判定!$L$4)&gt;0),1,0)+IF(COUNTIFS($C:$C,$X201,$D:$D,判定!$L$7)&gt;0,1,0)+IF(COUNTIFS($C:$C,$X201,$D:$D,判定!$L$8)&gt;0,1,0)+IF(COUNTIFS($C:$C,$X201,$D:$D,判定!$L$9)&gt;0,1,0)</f>
        <v>0</v>
      </c>
      <c r="Z201" s="221" t="str">
        <f>IF(Y201&gt;0,Y201*100+COUNTIF($Y$15:Y201,Y201),"")</f>
        <v/>
      </c>
      <c r="AA201" s="221" t="e">
        <f t="shared" si="6"/>
        <v>#NUM!</v>
      </c>
      <c r="AB201" s="226"/>
      <c r="AC201" s="226"/>
      <c r="AD201" s="226"/>
      <c r="AE201" s="226"/>
      <c r="AF201" s="226"/>
    </row>
    <row r="202" spans="1:32" x14ac:dyDescent="0.2">
      <c r="A202" s="221" t="str">
        <f>IF($D202="","",COUNTA($D$15:$D202))</f>
        <v/>
      </c>
      <c r="B202" s="235"/>
      <c r="C202" s="235"/>
      <c r="D202" s="235"/>
      <c r="E202" s="337"/>
      <c r="F202" s="337"/>
      <c r="G202" s="337"/>
      <c r="H202" s="338"/>
      <c r="I202" s="339" t="str">
        <f t="shared" si="7"/>
        <v/>
      </c>
      <c r="J202" s="236" t="str">
        <f ca="1">IFERROR(VLOOKUP($G202,INDIRECT("判定!"&amp;ADDRESS(ROW(判定!$N$2)+1,COLUMN(判定!$N$2)+MATCH($D202,判定!$N$2:$W$2,0)-1,4,1)&amp;":"&amp;ADDRESS(ROW(判定!$O$2)+4,COLUMN(判定!$N$2)+MATCH($D202,判定!$N$2:$W$2,0),4,1),1),2,1),"")</f>
        <v/>
      </c>
      <c r="K202" s="340"/>
      <c r="L202" s="341"/>
      <c r="M202" s="330"/>
      <c r="N202" s="330"/>
      <c r="O202" s="331"/>
      <c r="P202" s="237"/>
      <c r="Q202" s="234" t="str">
        <f>IF(COUNTIF(判定!$L$2:$L$9,$D202)&gt;0,$P202,"")</f>
        <v/>
      </c>
      <c r="R202" s="234" t="str">
        <f>IF(COUNTIF(判定!$L$10:$L$20,$D202)&gt;0,$P202,"")</f>
        <v/>
      </c>
      <c r="S202" s="234" t="str">
        <f>IF(COUNTIF(判定!$L$21,$D202)&gt;0,$P202,"")</f>
        <v/>
      </c>
      <c r="T202" s="341"/>
      <c r="V202" s="226"/>
      <c r="W202" s="221" t="str">
        <f>IF(OR($C202=判定!$K$2,$C202=判定!$K$3,$C202=判定!$K$4,$C202=判定!$K$5),"",IF(COUNTIF($C$15:$C202,$C202)=1,ROW(),""))</f>
        <v/>
      </c>
      <c r="X202" s="221">
        <f t="shared" si="5"/>
        <v>0</v>
      </c>
      <c r="Y202" s="221">
        <f>IF(COUNTIF($C:$C,$X202)&gt;0,1,0)+IF(OR(COUNTIFS($C:$C,$X202,$D:$D,判定!$L$2)&gt;0,COUNTIFS($C:$C,$X202,$D:$D,判定!$L$3)&gt;0,COUNTIFS($C:$C,$X202,$D:$D,判定!$L$4)&gt;0),1,0)+IF(COUNTIFS($C:$C,$X202,$D:$D,判定!$L$7)&gt;0,1,0)+IF(COUNTIFS($C:$C,$X202,$D:$D,判定!$L$8)&gt;0,1,0)+IF(COUNTIFS($C:$C,$X202,$D:$D,判定!$L$9)&gt;0,1,0)</f>
        <v>0</v>
      </c>
      <c r="Z202" s="221" t="str">
        <f>IF(Y202&gt;0,Y202*100+COUNTIF($Y$15:Y202,Y202),"")</f>
        <v/>
      </c>
      <c r="AA202" s="221" t="e">
        <f t="shared" si="6"/>
        <v>#NUM!</v>
      </c>
      <c r="AB202" s="226"/>
      <c r="AC202" s="226"/>
      <c r="AD202" s="226"/>
      <c r="AE202" s="226"/>
      <c r="AF202" s="226"/>
    </row>
    <row r="203" spans="1:32" x14ac:dyDescent="0.2">
      <c r="A203" s="221" t="str">
        <f>IF($D203="","",COUNTA($D$15:$D203))</f>
        <v/>
      </c>
      <c r="B203" s="235"/>
      <c r="C203" s="235"/>
      <c r="D203" s="235"/>
      <c r="E203" s="337"/>
      <c r="F203" s="337"/>
      <c r="G203" s="337"/>
      <c r="H203" s="338"/>
      <c r="I203" s="339" t="str">
        <f t="shared" si="7"/>
        <v/>
      </c>
      <c r="J203" s="236" t="str">
        <f ca="1">IFERROR(VLOOKUP($G203,INDIRECT("判定!"&amp;ADDRESS(ROW(判定!$N$2)+1,COLUMN(判定!$N$2)+MATCH($D203,判定!$N$2:$W$2,0)-1,4,1)&amp;":"&amp;ADDRESS(ROW(判定!$O$2)+4,COLUMN(判定!$N$2)+MATCH($D203,判定!$N$2:$W$2,0),4,1),1),2,1),"")</f>
        <v/>
      </c>
      <c r="K203" s="340"/>
      <c r="L203" s="341"/>
      <c r="M203" s="330"/>
      <c r="N203" s="330"/>
      <c r="O203" s="331"/>
      <c r="P203" s="237"/>
      <c r="Q203" s="234" t="str">
        <f>IF(COUNTIF(判定!$L$2:$L$9,$D203)&gt;0,$P203,"")</f>
        <v/>
      </c>
      <c r="R203" s="234" t="str">
        <f>IF(COUNTIF(判定!$L$10:$L$20,$D203)&gt;0,$P203,"")</f>
        <v/>
      </c>
      <c r="S203" s="234" t="str">
        <f>IF(COUNTIF(判定!$L$21,$D203)&gt;0,$P203,"")</f>
        <v/>
      </c>
      <c r="T203" s="341"/>
      <c r="V203" s="226"/>
      <c r="W203" s="221" t="str">
        <f>IF(OR($C203=判定!$K$2,$C203=判定!$K$3,$C203=判定!$K$4,$C203=判定!$K$5),"",IF(COUNTIF($C$15:$C203,$C203)=1,ROW(),""))</f>
        <v/>
      </c>
      <c r="X203" s="221">
        <f t="shared" si="5"/>
        <v>0</v>
      </c>
      <c r="Y203" s="221">
        <f>IF(COUNTIF($C:$C,$X203)&gt;0,1,0)+IF(OR(COUNTIFS($C:$C,$X203,$D:$D,判定!$L$2)&gt;0,COUNTIFS($C:$C,$X203,$D:$D,判定!$L$3)&gt;0,COUNTIFS($C:$C,$X203,$D:$D,判定!$L$4)&gt;0),1,0)+IF(COUNTIFS($C:$C,$X203,$D:$D,判定!$L$7)&gt;0,1,0)+IF(COUNTIFS($C:$C,$X203,$D:$D,判定!$L$8)&gt;0,1,0)+IF(COUNTIFS($C:$C,$X203,$D:$D,判定!$L$9)&gt;0,1,0)</f>
        <v>0</v>
      </c>
      <c r="Z203" s="221" t="str">
        <f>IF(Y203&gt;0,Y203*100+COUNTIF($Y$15:Y203,Y203),"")</f>
        <v/>
      </c>
      <c r="AA203" s="221" t="e">
        <f t="shared" si="6"/>
        <v>#NUM!</v>
      </c>
      <c r="AB203" s="226"/>
      <c r="AC203" s="226"/>
      <c r="AD203" s="226"/>
      <c r="AE203" s="226"/>
      <c r="AF203" s="226"/>
    </row>
    <row r="204" spans="1:32" x14ac:dyDescent="0.2">
      <c r="A204" s="221" t="str">
        <f>IF($D204="","",COUNTA($D$15:$D204))</f>
        <v/>
      </c>
      <c r="B204" s="235"/>
      <c r="C204" s="235"/>
      <c r="D204" s="235"/>
      <c r="E204" s="337"/>
      <c r="F204" s="337"/>
      <c r="G204" s="337"/>
      <c r="H204" s="338"/>
      <c r="I204" s="339" t="str">
        <f t="shared" si="7"/>
        <v/>
      </c>
      <c r="J204" s="236" t="str">
        <f ca="1">IFERROR(VLOOKUP($G204,INDIRECT("判定!"&amp;ADDRESS(ROW(判定!$N$2)+1,COLUMN(判定!$N$2)+MATCH($D204,判定!$N$2:$W$2,0)-1,4,1)&amp;":"&amp;ADDRESS(ROW(判定!$O$2)+4,COLUMN(判定!$N$2)+MATCH($D204,判定!$N$2:$W$2,0),4,1),1),2,1),"")</f>
        <v/>
      </c>
      <c r="K204" s="340"/>
      <c r="L204" s="341"/>
      <c r="M204" s="330"/>
      <c r="N204" s="330"/>
      <c r="O204" s="331"/>
      <c r="P204" s="237"/>
      <c r="Q204" s="234" t="str">
        <f>IF(COUNTIF(判定!$L$2:$L$9,$D204)&gt;0,$P204,"")</f>
        <v/>
      </c>
      <c r="R204" s="234" t="str">
        <f>IF(COUNTIF(判定!$L$10:$L$20,$D204)&gt;0,$P204,"")</f>
        <v/>
      </c>
      <c r="S204" s="234" t="str">
        <f>IF(COUNTIF(判定!$L$21,$D204)&gt;0,$P204,"")</f>
        <v/>
      </c>
      <c r="T204" s="341"/>
      <c r="V204" s="226"/>
      <c r="W204" s="221" t="str">
        <f>IF(OR($C204=判定!$K$2,$C204=判定!$K$3,$C204=判定!$K$4,$C204=判定!$K$5),"",IF(COUNTIF($C$15:$C204,$C204)=1,ROW(),""))</f>
        <v/>
      </c>
      <c r="X204" s="221">
        <f t="shared" si="5"/>
        <v>0</v>
      </c>
      <c r="Y204" s="221">
        <f>IF(COUNTIF($C:$C,$X204)&gt;0,1,0)+IF(OR(COUNTIFS($C:$C,$X204,$D:$D,判定!$L$2)&gt;0,COUNTIFS($C:$C,$X204,$D:$D,判定!$L$3)&gt;0,COUNTIFS($C:$C,$X204,$D:$D,判定!$L$4)&gt;0),1,0)+IF(COUNTIFS($C:$C,$X204,$D:$D,判定!$L$7)&gt;0,1,0)+IF(COUNTIFS($C:$C,$X204,$D:$D,判定!$L$8)&gt;0,1,0)+IF(COUNTIFS($C:$C,$X204,$D:$D,判定!$L$9)&gt;0,1,0)</f>
        <v>0</v>
      </c>
      <c r="Z204" s="221" t="str">
        <f>IF(Y204&gt;0,Y204*100+COUNTIF($Y$15:Y204,Y204),"")</f>
        <v/>
      </c>
      <c r="AA204" s="221" t="e">
        <f t="shared" si="6"/>
        <v>#NUM!</v>
      </c>
      <c r="AB204" s="226"/>
      <c r="AC204" s="226"/>
      <c r="AD204" s="226"/>
      <c r="AE204" s="226"/>
      <c r="AF204" s="226"/>
    </row>
    <row r="205" spans="1:32" x14ac:dyDescent="0.2">
      <c r="A205" s="221" t="str">
        <f>IF($D205="","",COUNTA($D$15:$D205))</f>
        <v/>
      </c>
      <c r="B205" s="235"/>
      <c r="C205" s="235"/>
      <c r="D205" s="235"/>
      <c r="E205" s="337"/>
      <c r="F205" s="337"/>
      <c r="G205" s="337"/>
      <c r="H205" s="338"/>
      <c r="I205" s="339" t="str">
        <f t="shared" si="7"/>
        <v/>
      </c>
      <c r="J205" s="236" t="str">
        <f ca="1">IFERROR(VLOOKUP($G205,INDIRECT("判定!"&amp;ADDRESS(ROW(判定!$N$2)+1,COLUMN(判定!$N$2)+MATCH($D205,判定!$N$2:$W$2,0)-1,4,1)&amp;":"&amp;ADDRESS(ROW(判定!$O$2)+4,COLUMN(判定!$N$2)+MATCH($D205,判定!$N$2:$W$2,0),4,1),1),2,1),"")</f>
        <v/>
      </c>
      <c r="K205" s="340"/>
      <c r="L205" s="341"/>
      <c r="M205" s="330"/>
      <c r="N205" s="330"/>
      <c r="O205" s="331"/>
      <c r="P205" s="237"/>
      <c r="Q205" s="234" t="str">
        <f>IF(COUNTIF(判定!$L$2:$L$9,$D205)&gt;0,$P205,"")</f>
        <v/>
      </c>
      <c r="R205" s="234" t="str">
        <f>IF(COUNTIF(判定!$L$10:$L$20,$D205)&gt;0,$P205,"")</f>
        <v/>
      </c>
      <c r="S205" s="234" t="str">
        <f>IF(COUNTIF(判定!$L$21,$D205)&gt;0,$P205,"")</f>
        <v/>
      </c>
      <c r="T205" s="341"/>
      <c r="V205" s="226"/>
      <c r="W205" s="221" t="str">
        <f>IF(OR($C205=判定!$K$2,$C205=判定!$K$3,$C205=判定!$K$4,$C205=判定!$K$5),"",IF(COUNTIF($C$15:$C205,$C205)=1,ROW(),""))</f>
        <v/>
      </c>
      <c r="X205" s="221">
        <f t="shared" si="5"/>
        <v>0</v>
      </c>
      <c r="Y205" s="221">
        <f>IF(COUNTIF($C:$C,$X205)&gt;0,1,0)+IF(OR(COUNTIFS($C:$C,$X205,$D:$D,判定!$L$2)&gt;0,COUNTIFS($C:$C,$X205,$D:$D,判定!$L$3)&gt;0,COUNTIFS($C:$C,$X205,$D:$D,判定!$L$4)&gt;0),1,0)+IF(COUNTIFS($C:$C,$X205,$D:$D,判定!$L$7)&gt;0,1,0)+IF(COUNTIFS($C:$C,$X205,$D:$D,判定!$L$8)&gt;0,1,0)+IF(COUNTIFS($C:$C,$X205,$D:$D,判定!$L$9)&gt;0,1,0)</f>
        <v>0</v>
      </c>
      <c r="Z205" s="221" t="str">
        <f>IF(Y205&gt;0,Y205*100+COUNTIF($Y$15:Y205,Y205),"")</f>
        <v/>
      </c>
      <c r="AA205" s="221" t="e">
        <f t="shared" si="6"/>
        <v>#NUM!</v>
      </c>
      <c r="AB205" s="226"/>
      <c r="AC205" s="226"/>
      <c r="AD205" s="226"/>
      <c r="AE205" s="226"/>
      <c r="AF205" s="226"/>
    </row>
    <row r="206" spans="1:32" x14ac:dyDescent="0.2">
      <c r="A206" s="221" t="str">
        <f>IF($D206="","",COUNTA($D$15:$D206))</f>
        <v/>
      </c>
      <c r="B206" s="235"/>
      <c r="C206" s="235"/>
      <c r="D206" s="235"/>
      <c r="E206" s="337"/>
      <c r="F206" s="337"/>
      <c r="G206" s="337"/>
      <c r="H206" s="338"/>
      <c r="I206" s="339" t="str">
        <f t="shared" si="7"/>
        <v/>
      </c>
      <c r="J206" s="236" t="str">
        <f ca="1">IFERROR(VLOOKUP($G206,INDIRECT("判定!"&amp;ADDRESS(ROW(判定!$N$2)+1,COLUMN(判定!$N$2)+MATCH($D206,判定!$N$2:$W$2,0)-1,4,1)&amp;":"&amp;ADDRESS(ROW(判定!$O$2)+4,COLUMN(判定!$N$2)+MATCH($D206,判定!$N$2:$W$2,0),4,1),1),2,1),"")</f>
        <v/>
      </c>
      <c r="K206" s="340"/>
      <c r="L206" s="341"/>
      <c r="M206" s="330"/>
      <c r="N206" s="330"/>
      <c r="O206" s="331"/>
      <c r="P206" s="237"/>
      <c r="Q206" s="234" t="str">
        <f>IF(COUNTIF(判定!$L$2:$L$9,$D206)&gt;0,$P206,"")</f>
        <v/>
      </c>
      <c r="R206" s="234" t="str">
        <f>IF(COUNTIF(判定!$L$10:$L$20,$D206)&gt;0,$P206,"")</f>
        <v/>
      </c>
      <c r="S206" s="234" t="str">
        <f>IF(COUNTIF(判定!$L$21,$D206)&gt;0,$P206,"")</f>
        <v/>
      </c>
      <c r="T206" s="341"/>
      <c r="V206" s="226"/>
      <c r="W206" s="221" t="str">
        <f>IF(OR($C206=判定!$K$2,$C206=判定!$K$3,$C206=判定!$K$4,$C206=判定!$K$5),"",IF(COUNTIF($C$15:$C206,$C206)=1,ROW(),""))</f>
        <v/>
      </c>
      <c r="X206" s="221">
        <f t="shared" si="5"/>
        <v>0</v>
      </c>
      <c r="Y206" s="221">
        <f>IF(COUNTIF($C:$C,$X206)&gt;0,1,0)+IF(OR(COUNTIFS($C:$C,$X206,$D:$D,判定!$L$2)&gt;0,COUNTIFS($C:$C,$X206,$D:$D,判定!$L$3)&gt;0,COUNTIFS($C:$C,$X206,$D:$D,判定!$L$4)&gt;0),1,0)+IF(COUNTIFS($C:$C,$X206,$D:$D,判定!$L$7)&gt;0,1,0)+IF(COUNTIFS($C:$C,$X206,$D:$D,判定!$L$8)&gt;0,1,0)+IF(COUNTIFS($C:$C,$X206,$D:$D,判定!$L$9)&gt;0,1,0)</f>
        <v>0</v>
      </c>
      <c r="Z206" s="221" t="str">
        <f>IF(Y206&gt;0,Y206*100+COUNTIF($Y$15:Y206,Y206),"")</f>
        <v/>
      </c>
      <c r="AA206" s="221" t="e">
        <f t="shared" si="6"/>
        <v>#NUM!</v>
      </c>
      <c r="AB206" s="226"/>
      <c r="AC206" s="226"/>
      <c r="AD206" s="226"/>
      <c r="AE206" s="226"/>
      <c r="AF206" s="226"/>
    </row>
    <row r="207" spans="1:32" x14ac:dyDescent="0.2">
      <c r="A207" s="221" t="str">
        <f>IF($D207="","",COUNTA($D$15:$D207))</f>
        <v/>
      </c>
      <c r="B207" s="235"/>
      <c r="C207" s="235"/>
      <c r="D207" s="235"/>
      <c r="E207" s="337"/>
      <c r="F207" s="337"/>
      <c r="G207" s="337"/>
      <c r="H207" s="338"/>
      <c r="I207" s="339" t="str">
        <f t="shared" si="7"/>
        <v/>
      </c>
      <c r="J207" s="236" t="str">
        <f ca="1">IFERROR(VLOOKUP($G207,INDIRECT("判定!"&amp;ADDRESS(ROW(判定!$N$2)+1,COLUMN(判定!$N$2)+MATCH($D207,判定!$N$2:$W$2,0)-1,4,1)&amp;":"&amp;ADDRESS(ROW(判定!$O$2)+4,COLUMN(判定!$N$2)+MATCH($D207,判定!$N$2:$W$2,0),4,1),1),2,1),"")</f>
        <v/>
      </c>
      <c r="K207" s="340"/>
      <c r="L207" s="341"/>
      <c r="M207" s="330"/>
      <c r="N207" s="330"/>
      <c r="O207" s="331"/>
      <c r="P207" s="237"/>
      <c r="Q207" s="234" t="str">
        <f>IF(COUNTIF(判定!$L$2:$L$9,$D207)&gt;0,$P207,"")</f>
        <v/>
      </c>
      <c r="R207" s="234" t="str">
        <f>IF(COUNTIF(判定!$L$10:$L$20,$D207)&gt;0,$P207,"")</f>
        <v/>
      </c>
      <c r="S207" s="234" t="str">
        <f>IF(COUNTIF(判定!$L$21,$D207)&gt;0,$P207,"")</f>
        <v/>
      </c>
      <c r="T207" s="341"/>
      <c r="V207" s="226"/>
      <c r="W207" s="221" t="str">
        <f>IF(OR($C207=判定!$K$2,$C207=判定!$K$3,$C207=判定!$K$4,$C207=判定!$K$5),"",IF(COUNTIF($C$15:$C207,$C207)=1,ROW(),""))</f>
        <v/>
      </c>
      <c r="X207" s="221">
        <f t="shared" si="5"/>
        <v>0</v>
      </c>
      <c r="Y207" s="221">
        <f>IF(COUNTIF($C:$C,$X207)&gt;0,1,0)+IF(OR(COUNTIFS($C:$C,$X207,$D:$D,判定!$L$2)&gt;0,COUNTIFS($C:$C,$X207,$D:$D,判定!$L$3)&gt;0,COUNTIFS($C:$C,$X207,$D:$D,判定!$L$4)&gt;0),1,0)+IF(COUNTIFS($C:$C,$X207,$D:$D,判定!$L$7)&gt;0,1,0)+IF(COUNTIFS($C:$C,$X207,$D:$D,判定!$L$8)&gt;0,1,0)+IF(COUNTIFS($C:$C,$X207,$D:$D,判定!$L$9)&gt;0,1,0)</f>
        <v>0</v>
      </c>
      <c r="Z207" s="221" t="str">
        <f>IF(Y207&gt;0,Y207*100+COUNTIF($Y$15:Y207,Y207),"")</f>
        <v/>
      </c>
      <c r="AA207" s="221" t="e">
        <f t="shared" si="6"/>
        <v>#NUM!</v>
      </c>
      <c r="AB207" s="226"/>
      <c r="AC207" s="226"/>
      <c r="AD207" s="226"/>
      <c r="AE207" s="226"/>
      <c r="AF207" s="226"/>
    </row>
    <row r="208" spans="1:32" x14ac:dyDescent="0.2">
      <c r="A208" s="221" t="str">
        <f>IF($D208="","",COUNTA($D$15:$D208))</f>
        <v/>
      </c>
      <c r="B208" s="235"/>
      <c r="C208" s="235"/>
      <c r="D208" s="235"/>
      <c r="E208" s="337"/>
      <c r="F208" s="337"/>
      <c r="G208" s="337"/>
      <c r="H208" s="338"/>
      <c r="I208" s="339" t="str">
        <f t="shared" si="7"/>
        <v/>
      </c>
      <c r="J208" s="236" t="str">
        <f ca="1">IFERROR(VLOOKUP($G208,INDIRECT("判定!"&amp;ADDRESS(ROW(判定!$N$2)+1,COLUMN(判定!$N$2)+MATCH($D208,判定!$N$2:$W$2,0)-1,4,1)&amp;":"&amp;ADDRESS(ROW(判定!$O$2)+4,COLUMN(判定!$N$2)+MATCH($D208,判定!$N$2:$W$2,0),4,1),1),2,1),"")</f>
        <v/>
      </c>
      <c r="K208" s="340"/>
      <c r="L208" s="341"/>
      <c r="M208" s="330"/>
      <c r="N208" s="330"/>
      <c r="O208" s="331"/>
      <c r="P208" s="237"/>
      <c r="Q208" s="234" t="str">
        <f>IF(COUNTIF(判定!$L$2:$L$9,$D208)&gt;0,$P208,"")</f>
        <v/>
      </c>
      <c r="R208" s="234" t="str">
        <f>IF(COUNTIF(判定!$L$10:$L$20,$D208)&gt;0,$P208,"")</f>
        <v/>
      </c>
      <c r="S208" s="234" t="str">
        <f>IF(COUNTIF(判定!$L$21,$D208)&gt;0,$P208,"")</f>
        <v/>
      </c>
      <c r="T208" s="341"/>
      <c r="V208" s="226"/>
      <c r="W208" s="221" t="str">
        <f>IF(OR($C208=判定!$K$2,$C208=判定!$K$3,$C208=判定!$K$4,$C208=判定!$K$5),"",IF(COUNTIF($C$15:$C208,$C208)=1,ROW(),""))</f>
        <v/>
      </c>
      <c r="X208" s="221">
        <f t="shared" ref="X208:X214" si="8">IFERROR(INDEX($C:$C,SMALL($W:$W,ROW($A194))),0)</f>
        <v>0</v>
      </c>
      <c r="Y208" s="221">
        <f>IF(COUNTIF($C:$C,$X208)&gt;0,1,0)+IF(OR(COUNTIFS($C:$C,$X208,$D:$D,判定!$L$2)&gt;0,COUNTIFS($C:$C,$X208,$D:$D,判定!$L$3)&gt;0,COUNTIFS($C:$C,$X208,$D:$D,判定!$L$4)&gt;0),1,0)+IF(COUNTIFS($C:$C,$X208,$D:$D,判定!$L$7)&gt;0,1,0)+IF(COUNTIFS($C:$C,$X208,$D:$D,判定!$L$8)&gt;0,1,0)+IF(COUNTIFS($C:$C,$X208,$D:$D,判定!$L$9)&gt;0,1,0)</f>
        <v>0</v>
      </c>
      <c r="Z208" s="221" t="str">
        <f>IF(Y208&gt;0,Y208*100+COUNTIF($Y$15:Y208,Y208),"")</f>
        <v/>
      </c>
      <c r="AA208" s="221" t="e">
        <f t="shared" ref="AA208:AA214" si="9">INDEX($X:$X,MATCH(LARGE($Z:$Z,ROW($A194)),$Z:$Z,0))</f>
        <v>#NUM!</v>
      </c>
      <c r="AB208" s="226"/>
      <c r="AC208" s="226"/>
      <c r="AD208" s="226"/>
      <c r="AE208" s="226"/>
      <c r="AF208" s="226"/>
    </row>
    <row r="209" spans="1:36" x14ac:dyDescent="0.2">
      <c r="A209" s="221" t="str">
        <f>IF($D209="","",COUNTA($D$15:$D209))</f>
        <v/>
      </c>
      <c r="B209" s="235"/>
      <c r="C209" s="235"/>
      <c r="D209" s="235"/>
      <c r="E209" s="337"/>
      <c r="F209" s="337"/>
      <c r="G209" s="337"/>
      <c r="H209" s="338"/>
      <c r="I209" s="339" t="str">
        <f t="shared" si="7"/>
        <v/>
      </c>
      <c r="J209" s="236" t="str">
        <f ca="1">IFERROR(VLOOKUP($G209,INDIRECT("判定!"&amp;ADDRESS(ROW(判定!$N$2)+1,COLUMN(判定!$N$2)+MATCH($D209,判定!$N$2:$W$2,0)-1,4,1)&amp;":"&amp;ADDRESS(ROW(判定!$O$2)+4,COLUMN(判定!$N$2)+MATCH($D209,判定!$N$2:$W$2,0),4,1),1),2,1),"")</f>
        <v/>
      </c>
      <c r="K209" s="340"/>
      <c r="L209" s="341"/>
      <c r="M209" s="330"/>
      <c r="N209" s="330"/>
      <c r="O209" s="331"/>
      <c r="P209" s="237"/>
      <c r="Q209" s="234" t="str">
        <f>IF(COUNTIF(判定!$L$2:$L$9,$D209)&gt;0,$P209,"")</f>
        <v/>
      </c>
      <c r="R209" s="234" t="str">
        <f>IF(COUNTIF(判定!$L$10:$L$20,$D209)&gt;0,$P209,"")</f>
        <v/>
      </c>
      <c r="S209" s="234" t="str">
        <f>IF(COUNTIF(判定!$L$21,$D209)&gt;0,$P209,"")</f>
        <v/>
      </c>
      <c r="T209" s="341"/>
      <c r="V209" s="226"/>
      <c r="W209" s="221" t="str">
        <f>IF(OR($C209=判定!$K$2,$C209=判定!$K$3,$C209=判定!$K$4,$C209=判定!$K$5),"",IF(COUNTIF($C$15:$C209,$C209)=1,ROW(),""))</f>
        <v/>
      </c>
      <c r="X209" s="221">
        <f t="shared" si="8"/>
        <v>0</v>
      </c>
      <c r="Y209" s="221">
        <f>IF(COUNTIF($C:$C,$X209)&gt;0,1,0)+IF(OR(COUNTIFS($C:$C,$X209,$D:$D,判定!$L$2)&gt;0,COUNTIFS($C:$C,$X209,$D:$D,判定!$L$3)&gt;0,COUNTIFS($C:$C,$X209,$D:$D,判定!$L$4)&gt;0),1,0)+IF(COUNTIFS($C:$C,$X209,$D:$D,判定!$L$7)&gt;0,1,0)+IF(COUNTIFS($C:$C,$X209,$D:$D,判定!$L$8)&gt;0,1,0)+IF(COUNTIFS($C:$C,$X209,$D:$D,判定!$L$9)&gt;0,1,0)</f>
        <v>0</v>
      </c>
      <c r="Z209" s="221" t="str">
        <f>IF(Y209&gt;0,Y209*100+COUNTIF($Y$15:Y209,Y209),"")</f>
        <v/>
      </c>
      <c r="AA209" s="221" t="e">
        <f t="shared" si="9"/>
        <v>#NUM!</v>
      </c>
      <c r="AB209" s="226"/>
      <c r="AC209" s="226"/>
      <c r="AD209" s="226"/>
      <c r="AE209" s="226"/>
      <c r="AF209" s="226"/>
    </row>
    <row r="210" spans="1:36" x14ac:dyDescent="0.2">
      <c r="A210" s="221" t="str">
        <f>IF($D210="","",COUNTA($D$15:$D210))</f>
        <v/>
      </c>
      <c r="B210" s="235"/>
      <c r="C210" s="235"/>
      <c r="D210" s="235"/>
      <c r="E210" s="337"/>
      <c r="F210" s="337"/>
      <c r="G210" s="337"/>
      <c r="H210" s="338"/>
      <c r="I210" s="339" t="str">
        <f t="shared" si="7"/>
        <v/>
      </c>
      <c r="J210" s="236" t="str">
        <f ca="1">IFERROR(VLOOKUP($G210,INDIRECT("判定!"&amp;ADDRESS(ROW(判定!$N$2)+1,COLUMN(判定!$N$2)+MATCH($D210,判定!$N$2:$W$2,0)-1,4,1)&amp;":"&amp;ADDRESS(ROW(判定!$O$2)+4,COLUMN(判定!$N$2)+MATCH($D210,判定!$N$2:$W$2,0),4,1),1),2,1),"")</f>
        <v/>
      </c>
      <c r="K210" s="340"/>
      <c r="L210" s="341"/>
      <c r="M210" s="330"/>
      <c r="N210" s="330"/>
      <c r="O210" s="331"/>
      <c r="P210" s="237"/>
      <c r="Q210" s="234" t="str">
        <f>IF(COUNTIF(判定!$L$2:$L$9,$D210)&gt;0,$P210,"")</f>
        <v/>
      </c>
      <c r="R210" s="234" t="str">
        <f>IF(COUNTIF(判定!$L$10:$L$20,$D210)&gt;0,$P210,"")</f>
        <v/>
      </c>
      <c r="S210" s="234" t="str">
        <f>IF(COUNTIF(判定!$L$21,$D210)&gt;0,$P210,"")</f>
        <v/>
      </c>
      <c r="T210" s="341"/>
      <c r="V210" s="226"/>
      <c r="W210" s="221" t="str">
        <f>IF(OR($C210=判定!$K$2,$C210=判定!$K$3,$C210=判定!$K$4,$C210=判定!$K$5),"",IF(COUNTIF($C$15:$C210,$C210)=1,ROW(),""))</f>
        <v/>
      </c>
      <c r="X210" s="221">
        <f t="shared" si="8"/>
        <v>0</v>
      </c>
      <c r="Y210" s="221">
        <f>IF(COUNTIF($C:$C,$X210)&gt;0,1,0)+IF(OR(COUNTIFS($C:$C,$X210,$D:$D,判定!$L$2)&gt;0,COUNTIFS($C:$C,$X210,$D:$D,判定!$L$3)&gt;0,COUNTIFS($C:$C,$X210,$D:$D,判定!$L$4)&gt;0),1,0)+IF(COUNTIFS($C:$C,$X210,$D:$D,判定!$L$7)&gt;0,1,0)+IF(COUNTIFS($C:$C,$X210,$D:$D,判定!$L$8)&gt;0,1,0)+IF(COUNTIFS($C:$C,$X210,$D:$D,判定!$L$9)&gt;0,1,0)</f>
        <v>0</v>
      </c>
      <c r="Z210" s="221" t="str">
        <f>IF(Y210&gt;0,Y210*100+COUNTIF($Y$15:Y210,Y210),"")</f>
        <v/>
      </c>
      <c r="AA210" s="221" t="e">
        <f t="shared" si="9"/>
        <v>#NUM!</v>
      </c>
      <c r="AB210" s="226"/>
      <c r="AC210" s="226"/>
      <c r="AD210" s="226"/>
      <c r="AE210" s="226"/>
      <c r="AF210" s="226"/>
    </row>
    <row r="211" spans="1:36" x14ac:dyDescent="0.2">
      <c r="A211" s="221" t="str">
        <f>IF($D211="","",COUNTA($D$15:$D211))</f>
        <v/>
      </c>
      <c r="B211" s="235"/>
      <c r="C211" s="235"/>
      <c r="D211" s="235"/>
      <c r="E211" s="337"/>
      <c r="F211" s="337"/>
      <c r="G211" s="337"/>
      <c r="H211" s="338"/>
      <c r="I211" s="339" t="str">
        <f t="shared" si="7"/>
        <v/>
      </c>
      <c r="J211" s="236" t="str">
        <f ca="1">IFERROR(VLOOKUP($G211,INDIRECT("判定!"&amp;ADDRESS(ROW(判定!$N$2)+1,COLUMN(判定!$N$2)+MATCH($D211,判定!$N$2:$W$2,0)-1,4,1)&amp;":"&amp;ADDRESS(ROW(判定!$O$2)+4,COLUMN(判定!$N$2)+MATCH($D211,判定!$N$2:$W$2,0),4,1),1),2,1),"")</f>
        <v/>
      </c>
      <c r="K211" s="340"/>
      <c r="L211" s="341"/>
      <c r="M211" s="330"/>
      <c r="N211" s="330"/>
      <c r="O211" s="331"/>
      <c r="P211" s="237"/>
      <c r="Q211" s="234" t="str">
        <f>IF(COUNTIF(判定!$L$2:$L$9,$D211)&gt;0,$P211,"")</f>
        <v/>
      </c>
      <c r="R211" s="234" t="str">
        <f>IF(COUNTIF(判定!$L$10:$L$20,$D211)&gt;0,$P211,"")</f>
        <v/>
      </c>
      <c r="S211" s="234" t="str">
        <f>IF(COUNTIF(判定!$L$21,$D211)&gt;0,$P211,"")</f>
        <v/>
      </c>
      <c r="T211" s="341"/>
      <c r="V211" s="226"/>
      <c r="W211" s="221" t="str">
        <f>IF(OR($C211=判定!$K$2,$C211=判定!$K$3,$C211=判定!$K$4,$C211=判定!$K$5),"",IF(COUNTIF($C$15:$C211,$C211)=1,ROW(),""))</f>
        <v/>
      </c>
      <c r="X211" s="221">
        <f t="shared" si="8"/>
        <v>0</v>
      </c>
      <c r="Y211" s="221">
        <f>IF(COUNTIF($C:$C,$X211)&gt;0,1,0)+IF(OR(COUNTIFS($C:$C,$X211,$D:$D,判定!$L$2)&gt;0,COUNTIFS($C:$C,$X211,$D:$D,判定!$L$3)&gt;0,COUNTIFS($C:$C,$X211,$D:$D,判定!$L$4)&gt;0),1,0)+IF(COUNTIFS($C:$C,$X211,$D:$D,判定!$L$7)&gt;0,1,0)+IF(COUNTIFS($C:$C,$X211,$D:$D,判定!$L$8)&gt;0,1,0)+IF(COUNTIFS($C:$C,$X211,$D:$D,判定!$L$9)&gt;0,1,0)</f>
        <v>0</v>
      </c>
      <c r="Z211" s="221" t="str">
        <f>IF(Y211&gt;0,Y211*100+COUNTIF($Y$15:Y211,Y211),"")</f>
        <v/>
      </c>
      <c r="AA211" s="221" t="e">
        <f t="shared" si="9"/>
        <v>#NUM!</v>
      </c>
      <c r="AB211" s="226"/>
      <c r="AC211" s="226"/>
      <c r="AD211" s="226"/>
      <c r="AE211" s="226"/>
      <c r="AF211" s="226"/>
    </row>
    <row r="212" spans="1:36" x14ac:dyDescent="0.2">
      <c r="A212" s="221" t="str">
        <f>IF($D212="","",COUNTA($D$15:$D212))</f>
        <v/>
      </c>
      <c r="B212" s="235"/>
      <c r="C212" s="235"/>
      <c r="D212" s="235"/>
      <c r="E212" s="337"/>
      <c r="F212" s="337"/>
      <c r="G212" s="337"/>
      <c r="H212" s="338"/>
      <c r="I212" s="339" t="str">
        <f t="shared" si="7"/>
        <v/>
      </c>
      <c r="J212" s="236" t="str">
        <f ca="1">IFERROR(VLOOKUP($G212,INDIRECT("判定!"&amp;ADDRESS(ROW(判定!$N$2)+1,COLUMN(判定!$N$2)+MATCH($D212,判定!$N$2:$W$2,0)-1,4,1)&amp;":"&amp;ADDRESS(ROW(判定!$O$2)+4,COLUMN(判定!$N$2)+MATCH($D212,判定!$N$2:$W$2,0),4,1),1),2,1),"")</f>
        <v/>
      </c>
      <c r="K212" s="340"/>
      <c r="L212" s="341"/>
      <c r="M212" s="330"/>
      <c r="N212" s="330"/>
      <c r="O212" s="331"/>
      <c r="P212" s="237"/>
      <c r="Q212" s="234" t="str">
        <f>IF(COUNTIF(判定!$L$2:$L$9,$D212)&gt;0,$P212,"")</f>
        <v/>
      </c>
      <c r="R212" s="234" t="str">
        <f>IF(COUNTIF(判定!$L$10:$L$20,$D212)&gt;0,$P212,"")</f>
        <v/>
      </c>
      <c r="S212" s="234" t="str">
        <f>IF(COUNTIF(判定!$L$21,$D212)&gt;0,$P212,"")</f>
        <v/>
      </c>
      <c r="T212" s="341"/>
      <c r="V212" s="226"/>
      <c r="W212" s="221" t="str">
        <f>IF(OR($C212=判定!$K$2,$C212=判定!$K$3,$C212=判定!$K$4,$C212=判定!$K$5),"",IF(COUNTIF($C$15:$C212,$C212)=1,ROW(),""))</f>
        <v/>
      </c>
      <c r="X212" s="221">
        <f t="shared" si="8"/>
        <v>0</v>
      </c>
      <c r="Y212" s="221">
        <f>IF(COUNTIF($C:$C,$X212)&gt;0,1,0)+IF(OR(COUNTIFS($C:$C,$X212,$D:$D,判定!$L$2)&gt;0,COUNTIFS($C:$C,$X212,$D:$D,判定!$L$3)&gt;0,COUNTIFS($C:$C,$X212,$D:$D,判定!$L$4)&gt;0),1,0)+IF(COUNTIFS($C:$C,$X212,$D:$D,判定!$L$7)&gt;0,1,0)+IF(COUNTIFS($C:$C,$X212,$D:$D,判定!$L$8)&gt;0,1,0)+IF(COUNTIFS($C:$C,$X212,$D:$D,判定!$L$9)&gt;0,1,0)</f>
        <v>0</v>
      </c>
      <c r="Z212" s="221" t="str">
        <f>IF(Y212&gt;0,Y212*100+COUNTIF($Y$15:Y212,Y212),"")</f>
        <v/>
      </c>
      <c r="AA212" s="221" t="e">
        <f t="shared" si="9"/>
        <v>#NUM!</v>
      </c>
      <c r="AB212" s="226"/>
      <c r="AC212" s="226"/>
      <c r="AD212" s="226"/>
      <c r="AE212" s="226"/>
      <c r="AF212" s="226"/>
    </row>
    <row r="213" spans="1:36" x14ac:dyDescent="0.2">
      <c r="A213" s="221" t="str">
        <f>IF($D213="","",COUNTA($D$15:$D213))</f>
        <v/>
      </c>
      <c r="B213" s="235"/>
      <c r="C213" s="235"/>
      <c r="D213" s="235"/>
      <c r="E213" s="337"/>
      <c r="F213" s="337"/>
      <c r="G213" s="337"/>
      <c r="H213" s="338"/>
      <c r="I213" s="339" t="str">
        <f t="shared" si="7"/>
        <v/>
      </c>
      <c r="J213" s="236" t="str">
        <f ca="1">IFERROR(VLOOKUP($G213,INDIRECT("判定!"&amp;ADDRESS(ROW(判定!$N$2)+1,COLUMN(判定!$N$2)+MATCH($D213,判定!$N$2:$W$2,0)-1,4,1)&amp;":"&amp;ADDRESS(ROW(判定!$O$2)+4,COLUMN(判定!$N$2)+MATCH($D213,判定!$N$2:$W$2,0),4,1),1),2,1),"")</f>
        <v/>
      </c>
      <c r="K213" s="340"/>
      <c r="L213" s="341"/>
      <c r="M213" s="330"/>
      <c r="N213" s="330"/>
      <c r="O213" s="331"/>
      <c r="P213" s="237"/>
      <c r="Q213" s="234" t="str">
        <f>IF(COUNTIF(判定!$L$2:$L$9,$D213)&gt;0,$P213,"")</f>
        <v/>
      </c>
      <c r="R213" s="234" t="str">
        <f>IF(COUNTIF(判定!$L$10:$L$20,$D213)&gt;0,$P213,"")</f>
        <v/>
      </c>
      <c r="S213" s="234" t="str">
        <f>IF(COUNTIF(判定!$L$21,$D213)&gt;0,$P213,"")</f>
        <v/>
      </c>
      <c r="T213" s="341"/>
      <c r="V213" s="226"/>
      <c r="W213" s="221" t="str">
        <f>IF(OR($C213=判定!$K$2,$C213=判定!$K$3,$C213=判定!$K$4,$C213=判定!$K$5),"",IF(COUNTIF($C$15:$C213,$C213)=1,ROW(),""))</f>
        <v/>
      </c>
      <c r="X213" s="221">
        <f t="shared" si="8"/>
        <v>0</v>
      </c>
      <c r="Y213" s="221">
        <f>IF(COUNTIF($C:$C,$X213)&gt;0,1,0)+IF(OR(COUNTIFS($C:$C,$X213,$D:$D,判定!$L$2)&gt;0,COUNTIFS($C:$C,$X213,$D:$D,判定!$L$3)&gt;0,COUNTIFS($C:$C,$X213,$D:$D,判定!$L$4)&gt;0),1,0)+IF(COUNTIFS($C:$C,$X213,$D:$D,判定!$L$7)&gt;0,1,0)+IF(COUNTIFS($C:$C,$X213,$D:$D,判定!$L$8)&gt;0,1,0)+IF(COUNTIFS($C:$C,$X213,$D:$D,判定!$L$9)&gt;0,1,0)</f>
        <v>0</v>
      </c>
      <c r="Z213" s="221" t="str">
        <f>IF(Y213&gt;0,Y213*100+COUNTIF($Y$15:Y213,Y213),"")</f>
        <v/>
      </c>
      <c r="AA213" s="221" t="e">
        <f t="shared" si="9"/>
        <v>#NUM!</v>
      </c>
      <c r="AB213" s="226"/>
      <c r="AC213" s="226"/>
      <c r="AD213" s="226"/>
      <c r="AE213" s="226"/>
      <c r="AF213" s="226"/>
    </row>
    <row r="214" spans="1:36" x14ac:dyDescent="0.2">
      <c r="A214" s="221" t="str">
        <f>IF($D214="","",COUNTA($D$15:$D214))</f>
        <v/>
      </c>
      <c r="B214" s="235"/>
      <c r="C214" s="235"/>
      <c r="D214" s="235"/>
      <c r="E214" s="337"/>
      <c r="F214" s="337"/>
      <c r="G214" s="337"/>
      <c r="H214" s="338"/>
      <c r="I214" s="339" t="str">
        <f t="shared" ref="I214" si="10">IF(OR(G214=0,H214=0),"",ROUNDDOWN(G214*H214,3))</f>
        <v/>
      </c>
      <c r="J214" s="236" t="str">
        <f ca="1">IFERROR(VLOOKUP($G214,INDIRECT("判定!"&amp;ADDRESS(ROW(判定!$N$2)+1,COLUMN(判定!$N$2)+MATCH($D214,判定!$N$2:$W$2,0)-1,4,1)&amp;":"&amp;ADDRESS(ROW(判定!$O$2)+4,COLUMN(判定!$N$2)+MATCH($D214,判定!$N$2:$W$2,0),4,1),1),2,1),"")</f>
        <v/>
      </c>
      <c r="K214" s="340"/>
      <c r="L214" s="341"/>
      <c r="M214" s="330"/>
      <c r="N214" s="330"/>
      <c r="O214" s="331"/>
      <c r="P214" s="237"/>
      <c r="Q214" s="234" t="str">
        <f>IF(COUNTIF(判定!$L$2:$L$9,$D214)&gt;0,$P214,"")</f>
        <v/>
      </c>
      <c r="R214" s="234" t="str">
        <f>IF(COUNTIF(判定!$L$10:$L$20,$D214)&gt;0,$P214,"")</f>
        <v/>
      </c>
      <c r="S214" s="234" t="str">
        <f>IF(COUNTIF(判定!$L$21,$D214)&gt;0,$P214,"")</f>
        <v/>
      </c>
      <c r="T214" s="341"/>
      <c r="V214" s="226"/>
      <c r="W214" s="221" t="str">
        <f>IF(OR($C214=判定!$K$2,$C214=判定!$K$3,$C214=判定!$K$4,$C214=判定!$K$5),"",IF(COUNTIF($C$15:$C214,$C214)=1,ROW(),""))</f>
        <v/>
      </c>
      <c r="X214" s="221">
        <f t="shared" si="8"/>
        <v>0</v>
      </c>
      <c r="Y214" s="221">
        <f>IF(COUNTIF($C:$C,$X214)&gt;0,1,0)+IF(OR(COUNTIFS($C:$C,$X214,$D:$D,判定!$L$2)&gt;0,COUNTIFS($C:$C,$X214,$D:$D,判定!$L$3)&gt;0,COUNTIFS($C:$C,$X214,$D:$D,判定!$L$4)&gt;0),1,0)+IF(COUNTIFS($C:$C,$X214,$D:$D,判定!$L$7)&gt;0,1,0)+IF(COUNTIFS($C:$C,$X214,$D:$D,判定!$L$8)&gt;0,1,0)+IF(COUNTIFS($C:$C,$X214,$D:$D,判定!$L$9)&gt;0,1,0)</f>
        <v>0</v>
      </c>
      <c r="Z214" s="221" t="str">
        <f>IF(Y214&gt;0,Y214*100+COUNTIF($Y$15:Y214,Y214),"")</f>
        <v/>
      </c>
      <c r="AA214" s="221" t="e">
        <f t="shared" si="9"/>
        <v>#NUM!</v>
      </c>
      <c r="AB214" s="226"/>
      <c r="AC214" s="226"/>
      <c r="AD214" s="226"/>
      <c r="AE214" s="226"/>
      <c r="AF214" s="226"/>
    </row>
    <row r="215" spans="1:36" x14ac:dyDescent="0.2">
      <c r="B215" s="241"/>
      <c r="C215" s="242"/>
      <c r="D215" s="243"/>
      <c r="E215" s="243"/>
      <c r="F215" s="243"/>
      <c r="G215" s="243"/>
      <c r="H215" s="243"/>
      <c r="I215" s="243"/>
      <c r="J215" s="243"/>
      <c r="K215" s="243"/>
      <c r="L215" s="243"/>
      <c r="M215" s="243"/>
      <c r="N215" s="243"/>
      <c r="O215" s="243"/>
      <c r="P215" s="244"/>
      <c r="AB215" s="226"/>
      <c r="AC215" s="226"/>
      <c r="AD215" s="226"/>
      <c r="AE215" s="226"/>
      <c r="AF215" s="226"/>
      <c r="AG215" s="226"/>
      <c r="AH215" s="226"/>
      <c r="AI215" s="226"/>
      <c r="AJ215" s="226"/>
    </row>
    <row r="216" spans="1:36" x14ac:dyDescent="0.2">
      <c r="B216" s="245"/>
      <c r="C216" s="246"/>
      <c r="D216" s="245"/>
      <c r="E216" s="245"/>
      <c r="F216" s="245"/>
      <c r="G216" s="245"/>
      <c r="H216" s="245"/>
      <c r="I216" s="245"/>
      <c r="J216" s="245"/>
      <c r="K216" s="245"/>
      <c r="L216" s="245"/>
      <c r="M216" s="245"/>
      <c r="N216" s="245"/>
      <c r="O216" s="245"/>
      <c r="P216" s="247"/>
      <c r="AB216" s="226"/>
      <c r="AC216" s="226"/>
      <c r="AD216" s="226"/>
      <c r="AE216" s="226"/>
      <c r="AF216" s="226"/>
      <c r="AG216" s="226"/>
      <c r="AH216" s="226"/>
      <c r="AI216" s="226"/>
      <c r="AJ216" s="226"/>
    </row>
    <row r="217" spans="1:36" x14ac:dyDescent="0.2">
      <c r="AB217" s="226"/>
      <c r="AC217" s="226"/>
      <c r="AD217" s="226"/>
      <c r="AE217" s="226"/>
      <c r="AF217" s="226"/>
      <c r="AG217" s="226"/>
      <c r="AH217" s="226"/>
      <c r="AI217" s="226"/>
      <c r="AJ217" s="226"/>
    </row>
    <row r="218" spans="1:36" x14ac:dyDescent="0.2">
      <c r="AB218" s="226"/>
      <c r="AC218" s="226"/>
      <c r="AD218" s="226"/>
      <c r="AE218" s="226"/>
      <c r="AF218" s="226"/>
      <c r="AG218" s="226"/>
      <c r="AH218" s="226"/>
      <c r="AI218" s="226"/>
      <c r="AJ218" s="226"/>
    </row>
    <row r="219" spans="1:36" x14ac:dyDescent="0.2">
      <c r="AB219" s="226"/>
      <c r="AC219" s="226"/>
      <c r="AD219" s="226"/>
      <c r="AE219" s="226"/>
      <c r="AF219" s="226"/>
      <c r="AG219" s="226"/>
      <c r="AH219" s="226"/>
      <c r="AI219" s="226"/>
      <c r="AJ219" s="226"/>
    </row>
    <row r="220" spans="1:36" x14ac:dyDescent="0.2">
      <c r="AB220" s="226"/>
      <c r="AC220" s="226"/>
      <c r="AD220" s="226"/>
      <c r="AE220" s="226"/>
      <c r="AF220" s="226"/>
      <c r="AG220" s="226"/>
      <c r="AH220" s="226"/>
      <c r="AI220" s="226"/>
      <c r="AJ220" s="226"/>
    </row>
    <row r="221" spans="1:36" x14ac:dyDescent="0.2">
      <c r="AB221" s="226"/>
      <c r="AC221" s="226"/>
      <c r="AD221" s="226"/>
      <c r="AE221" s="226"/>
      <c r="AF221" s="226"/>
      <c r="AG221" s="226"/>
      <c r="AH221" s="226"/>
      <c r="AI221" s="226"/>
      <c r="AJ221" s="226"/>
    </row>
    <row r="222" spans="1:36" x14ac:dyDescent="0.2">
      <c r="AB222" s="226"/>
      <c r="AC222" s="226"/>
      <c r="AD222" s="226"/>
      <c r="AE222" s="226"/>
      <c r="AF222" s="226"/>
      <c r="AG222" s="226"/>
      <c r="AH222" s="226"/>
      <c r="AI222" s="226"/>
      <c r="AJ222" s="226"/>
    </row>
    <row r="223" spans="1:36" x14ac:dyDescent="0.2">
      <c r="AB223" s="226"/>
      <c r="AC223" s="226"/>
      <c r="AD223" s="226"/>
      <c r="AE223" s="226"/>
      <c r="AF223" s="226"/>
      <c r="AG223" s="226"/>
      <c r="AH223" s="226"/>
      <c r="AI223" s="226"/>
      <c r="AJ223" s="226"/>
    </row>
    <row r="224" spans="1:36" x14ac:dyDescent="0.2">
      <c r="AB224" s="226"/>
      <c r="AC224" s="226"/>
      <c r="AD224" s="226"/>
      <c r="AE224" s="226"/>
      <c r="AF224" s="226"/>
      <c r="AG224" s="226"/>
      <c r="AH224" s="226"/>
      <c r="AI224" s="226"/>
      <c r="AJ224" s="226"/>
    </row>
    <row r="225" spans="28:36" x14ac:dyDescent="0.2">
      <c r="AB225" s="226"/>
      <c r="AC225" s="226"/>
      <c r="AD225" s="226"/>
      <c r="AE225" s="226"/>
      <c r="AF225" s="226"/>
      <c r="AG225" s="226"/>
      <c r="AH225" s="226"/>
      <c r="AI225" s="226"/>
      <c r="AJ225" s="226"/>
    </row>
    <row r="226" spans="28:36" x14ac:dyDescent="0.2">
      <c r="AB226" s="226"/>
      <c r="AC226" s="226"/>
      <c r="AD226" s="226"/>
      <c r="AE226" s="226"/>
      <c r="AF226" s="226"/>
      <c r="AG226" s="226"/>
      <c r="AH226" s="226"/>
      <c r="AI226" s="226"/>
      <c r="AJ226" s="226"/>
    </row>
    <row r="227" spans="28:36" x14ac:dyDescent="0.2">
      <c r="AB227" s="226"/>
      <c r="AC227" s="226"/>
      <c r="AD227" s="226"/>
      <c r="AE227" s="226"/>
      <c r="AF227" s="226"/>
      <c r="AG227" s="226"/>
      <c r="AH227" s="226"/>
      <c r="AI227" s="226"/>
      <c r="AJ227" s="226"/>
    </row>
    <row r="228" spans="28:36" x14ac:dyDescent="0.2">
      <c r="AB228" s="226"/>
      <c r="AC228" s="226"/>
      <c r="AD228" s="226"/>
      <c r="AE228" s="226"/>
      <c r="AF228" s="226"/>
      <c r="AG228" s="226"/>
      <c r="AH228" s="226"/>
      <c r="AI228" s="226"/>
      <c r="AJ228" s="226"/>
    </row>
    <row r="229" spans="28:36" x14ac:dyDescent="0.2">
      <c r="AB229" s="226"/>
      <c r="AC229" s="226"/>
      <c r="AD229" s="226"/>
      <c r="AE229" s="226"/>
      <c r="AF229" s="226"/>
      <c r="AG229" s="226"/>
      <c r="AH229" s="226"/>
      <c r="AI229" s="226"/>
      <c r="AJ229" s="226"/>
    </row>
    <row r="230" spans="28:36" x14ac:dyDescent="0.2">
      <c r="AB230" s="226"/>
      <c r="AC230" s="226"/>
      <c r="AD230" s="226"/>
      <c r="AE230" s="226"/>
      <c r="AF230" s="226"/>
      <c r="AG230" s="226"/>
      <c r="AH230" s="226"/>
      <c r="AI230" s="226"/>
      <c r="AJ230" s="226"/>
    </row>
    <row r="231" spans="28:36" x14ac:dyDescent="0.2">
      <c r="AB231" s="226"/>
      <c r="AC231" s="226"/>
      <c r="AD231" s="226"/>
      <c r="AE231" s="226"/>
      <c r="AF231" s="226"/>
      <c r="AG231" s="226"/>
      <c r="AH231" s="226"/>
      <c r="AI231" s="226"/>
      <c r="AJ231" s="226"/>
    </row>
    <row r="232" spans="28:36" x14ac:dyDescent="0.2">
      <c r="AB232" s="226"/>
      <c r="AC232" s="226"/>
      <c r="AD232" s="226"/>
      <c r="AE232" s="226"/>
      <c r="AF232" s="226"/>
      <c r="AG232" s="226"/>
      <c r="AH232" s="226"/>
      <c r="AI232" s="226"/>
      <c r="AJ232" s="226"/>
    </row>
    <row r="233" spans="28:36" x14ac:dyDescent="0.2">
      <c r="AB233" s="226"/>
      <c r="AC233" s="226"/>
      <c r="AD233" s="226"/>
      <c r="AE233" s="226"/>
      <c r="AF233" s="226"/>
      <c r="AG233" s="226"/>
      <c r="AH233" s="226"/>
      <c r="AI233" s="226"/>
      <c r="AJ233" s="226"/>
    </row>
    <row r="234" spans="28:36" x14ac:dyDescent="0.2">
      <c r="AB234" s="226"/>
      <c r="AC234" s="226"/>
      <c r="AD234" s="226"/>
      <c r="AE234" s="226"/>
      <c r="AF234" s="226"/>
      <c r="AG234" s="226"/>
      <c r="AH234" s="226"/>
      <c r="AI234" s="226"/>
      <c r="AJ234" s="226"/>
    </row>
    <row r="235" spans="28:36" x14ac:dyDescent="0.2">
      <c r="AB235" s="226"/>
      <c r="AC235" s="226"/>
      <c r="AD235" s="226"/>
      <c r="AE235" s="226"/>
      <c r="AF235" s="226"/>
      <c r="AG235" s="226"/>
      <c r="AH235" s="226"/>
      <c r="AI235" s="226"/>
      <c r="AJ235" s="226"/>
    </row>
    <row r="236" spans="28:36" x14ac:dyDescent="0.2">
      <c r="AB236" s="226"/>
      <c r="AC236" s="226"/>
      <c r="AD236" s="226"/>
      <c r="AE236" s="226"/>
      <c r="AF236" s="226"/>
      <c r="AG236" s="226"/>
      <c r="AH236" s="226"/>
      <c r="AI236" s="226"/>
      <c r="AJ236" s="226"/>
    </row>
    <row r="237" spans="28:36" x14ac:dyDescent="0.2">
      <c r="AB237" s="226"/>
      <c r="AC237" s="226"/>
      <c r="AD237" s="226"/>
      <c r="AE237" s="226"/>
      <c r="AF237" s="226"/>
      <c r="AG237" s="226"/>
      <c r="AH237" s="226"/>
      <c r="AI237" s="226"/>
      <c r="AJ237" s="226"/>
    </row>
    <row r="238" spans="28:36" x14ac:dyDescent="0.2">
      <c r="AB238" s="226"/>
      <c r="AC238" s="226"/>
      <c r="AD238" s="226"/>
      <c r="AE238" s="226"/>
      <c r="AF238" s="226"/>
      <c r="AG238" s="226"/>
      <c r="AH238" s="226"/>
      <c r="AI238" s="226"/>
      <c r="AJ238" s="226"/>
    </row>
    <row r="239" spans="28:36" x14ac:dyDescent="0.2">
      <c r="AB239" s="226"/>
      <c r="AC239" s="226"/>
      <c r="AD239" s="226"/>
      <c r="AE239" s="226"/>
      <c r="AF239" s="226"/>
      <c r="AG239" s="226"/>
      <c r="AH239" s="226"/>
      <c r="AI239" s="226"/>
      <c r="AJ239" s="226"/>
    </row>
    <row r="240" spans="28:36" x14ac:dyDescent="0.2">
      <c r="AB240" s="226"/>
      <c r="AC240" s="226"/>
      <c r="AD240" s="226"/>
      <c r="AE240" s="226"/>
      <c r="AF240" s="226"/>
      <c r="AG240" s="226"/>
      <c r="AH240" s="226"/>
      <c r="AI240" s="226"/>
      <c r="AJ240" s="226"/>
    </row>
    <row r="241" spans="28:36" x14ac:dyDescent="0.2">
      <c r="AB241" s="226"/>
      <c r="AC241" s="226"/>
      <c r="AD241" s="226"/>
      <c r="AE241" s="226"/>
      <c r="AF241" s="226"/>
      <c r="AG241" s="226"/>
      <c r="AH241" s="226"/>
      <c r="AI241" s="226"/>
      <c r="AJ241" s="226"/>
    </row>
    <row r="242" spans="28:36" x14ac:dyDescent="0.2">
      <c r="AB242" s="226"/>
      <c r="AC242" s="226"/>
      <c r="AD242" s="226"/>
      <c r="AE242" s="226"/>
      <c r="AF242" s="226"/>
      <c r="AG242" s="226"/>
      <c r="AH242" s="226"/>
      <c r="AI242" s="226"/>
      <c r="AJ242" s="226"/>
    </row>
    <row r="243" spans="28:36" x14ac:dyDescent="0.2">
      <c r="AB243" s="226"/>
      <c r="AC243" s="226"/>
      <c r="AD243" s="226"/>
      <c r="AE243" s="226"/>
      <c r="AF243" s="226"/>
      <c r="AG243" s="226"/>
      <c r="AH243" s="226"/>
      <c r="AI243" s="226"/>
      <c r="AJ243" s="226"/>
    </row>
    <row r="244" spans="28:36" x14ac:dyDescent="0.2">
      <c r="AB244" s="226"/>
      <c r="AC244" s="226"/>
      <c r="AD244" s="226"/>
      <c r="AE244" s="226"/>
      <c r="AF244" s="226"/>
      <c r="AG244" s="226"/>
      <c r="AH244" s="226"/>
      <c r="AI244" s="226"/>
      <c r="AJ244" s="226"/>
    </row>
    <row r="245" spans="28:36" x14ac:dyDescent="0.2">
      <c r="AB245" s="226"/>
      <c r="AC245" s="226"/>
      <c r="AD245" s="226"/>
      <c r="AE245" s="226"/>
      <c r="AF245" s="226"/>
      <c r="AG245" s="226"/>
      <c r="AH245" s="226"/>
      <c r="AI245" s="226"/>
      <c r="AJ245" s="226"/>
    </row>
  </sheetData>
  <sheetProtection sheet="1" selectLockedCells="1"/>
  <dataConsolidate/>
  <mergeCells count="20">
    <mergeCell ref="A11:A14"/>
    <mergeCell ref="B11:B14"/>
    <mergeCell ref="C11:C14"/>
    <mergeCell ref="D11:D14"/>
    <mergeCell ref="K12:K14"/>
    <mergeCell ref="J12:J14"/>
    <mergeCell ref="I12:I14"/>
    <mergeCell ref="H12:H14"/>
    <mergeCell ref="G12:G14"/>
    <mergeCell ref="F12:F14"/>
    <mergeCell ref="E12:E14"/>
    <mergeCell ref="T11:T14"/>
    <mergeCell ref="P11:S12"/>
    <mergeCell ref="E8:F8"/>
    <mergeCell ref="E7:F7"/>
    <mergeCell ref="E6:F6"/>
    <mergeCell ref="O12:O14"/>
    <mergeCell ref="N12:N14"/>
    <mergeCell ref="M12:M14"/>
    <mergeCell ref="L12:L14"/>
  </mergeCells>
  <phoneticPr fontId="3"/>
  <dataValidations count="4">
    <dataValidation type="list" allowBlank="1" showInputMessage="1" showErrorMessage="1" sqref="K15:K214">
      <formula1>INDIRECT($D15)</formula1>
    </dataValidation>
    <dataValidation type="custom" allowBlank="1" showInputMessage="1" showErrorMessage="1" error="小数点以下2桁以内で記入してください。" sqref="E15:G214 I15:I214">
      <formula1>E15*100=INT(E15*100)</formula1>
    </dataValidation>
    <dataValidation type="whole" operator="greaterThanOrEqual" allowBlank="1" showInputMessage="1" showErrorMessage="1" error="整数で入力してください。" sqref="L15:L214">
      <formula1>0</formula1>
    </dataValidation>
    <dataValidation type="custom" allowBlank="1" showInputMessage="1" showErrorMessage="1" error="小数点以下3桁以内で記入してください。" sqref="H15:H214">
      <formula1>H15*1000=INT(H15*1000)</formula1>
    </dataValidation>
  </dataValidations>
  <printOptions horizontalCentered="1"/>
  <pageMargins left="0.23622047244094491" right="0.23622047244094491" top="0.94488188976377963" bottom="0.74803149606299213" header="0.31496062992125984" footer="0.31496062992125984"/>
  <pageSetup paperSize="9" scale="71"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89" id="{F85C5F1E-8F81-471F-A1A9-5541FBDCD83A}">
            <xm:f>OR($D1=判定!$L$2,$D1=判定!$L$3,$D1=判定!$L$4,$D1=判定!$L$5,$D1=判定!$L$6)</xm:f>
            <x14:dxf>
              <fill>
                <patternFill>
                  <bgColor rgb="FFFFFF99"/>
                </patternFill>
              </fill>
            </x14:dxf>
          </x14:cfRule>
          <xm:sqref>E1:G54 K1:P54 K125:P175 E125:G175 E188:G197 K188:P197 K206:P1048576 E206:G1048576 K202:P202 E202:G202</xm:sqref>
        </x14:conditionalFormatting>
        <x14:conditionalFormatting xmlns:xm="http://schemas.microsoft.com/office/excel/2006/main">
          <x14:cfRule type="expression" priority="391" id="{54121176-0157-41A4-8320-B59589812CE5}">
            <xm:f>OR($D1=判定!$L$7,$D1=判定!$L$8,$D1=判定!$L$9)</xm:f>
            <x14:dxf>
              <fill>
                <patternFill>
                  <bgColor rgb="FFFFFF99"/>
                </patternFill>
              </fill>
            </x14:dxf>
          </x14:cfRule>
          <xm:sqref>G1:H54 K1:K54 M1:P54 M125:P175 K125:K175 G125:H175 G188:H197 K188:K197 M188:P197 M206:P1048576 K206:K1048576 G206:H1048576 M202:P202 K202 G202:H202</xm:sqref>
        </x14:conditionalFormatting>
        <x14:conditionalFormatting xmlns:xm="http://schemas.microsoft.com/office/excel/2006/main">
          <x14:cfRule type="expression" priority="394" id="{8124D1DC-CE63-4D52-A716-6FD04277EAF6}">
            <xm:f>OR($D1=判定!$L$10,$D1=判定!$L$11,$D1=判定!$L$12,$D1=判定!$L$13,$D1=判定!$L$14,$D1=判定!$L$15,$D1=判定!$L$16,$D1=判定!$L$17,$D1=判定!$L$18,$D1=判定!$L$19,$D1=判定!$L$20,)</xm:f>
            <x14:dxf>
              <fill>
                <patternFill>
                  <bgColor rgb="FFFFFF99"/>
                </patternFill>
              </fill>
            </x14:dxf>
          </x14:cfRule>
          <xm:sqref>L1:P54 L125:P175 L188:P197 L206:P1048576 L202:P202</xm:sqref>
        </x14:conditionalFormatting>
        <x14:conditionalFormatting xmlns:xm="http://schemas.microsoft.com/office/excel/2006/main">
          <x14:cfRule type="expression" priority="22" id="{A88B017D-7FA3-4C07-8265-8658888B3897}">
            <xm:f>$D1=判定!$L$21</xm:f>
            <x14:dxf>
              <font>
                <color auto="1"/>
              </font>
              <fill>
                <patternFill>
                  <bgColor rgb="FFFFFF99"/>
                </patternFill>
              </fill>
            </x14:dxf>
          </x14:cfRule>
          <xm:sqref>P1:P54 T1:T54 T125:T175 P125:P175 P188:P197 T188:T197 T206:T1048576 P206:P1048576 T202 P202</xm:sqref>
        </x14:conditionalFormatting>
        <x14:conditionalFormatting xmlns:xm="http://schemas.microsoft.com/office/excel/2006/main">
          <x14:cfRule type="expression" priority="21" id="{35D68EB2-43A1-4D10-B8B4-A0A3579001D2}">
            <xm:f>判定!$C$2=TRUE</xm:f>
            <x14:dxf>
              <fill>
                <patternFill>
                  <bgColor rgb="FFFFFF99"/>
                </patternFill>
              </fill>
            </x14:dxf>
          </x14:cfRule>
          <xm:sqref>E6:E8</xm:sqref>
        </x14:conditionalFormatting>
        <x14:conditionalFormatting xmlns:xm="http://schemas.microsoft.com/office/excel/2006/main">
          <x14:cfRule type="expression" priority="18" id="{8ED60F32-EA7F-41AE-A074-E93CC704D7C7}">
            <xm:f>OR($D55=判定!$L$2,$D55=判定!$L$3,$D55=判定!$L$4,$D55=判定!$L$5,$D55=判定!$L$6)</xm:f>
            <x14:dxf>
              <fill>
                <patternFill>
                  <bgColor rgb="FFFFFF99"/>
                </patternFill>
              </fill>
            </x14:dxf>
          </x14:cfRule>
          <xm:sqref>K55:P124 E55:G124</xm:sqref>
        </x14:conditionalFormatting>
        <x14:conditionalFormatting xmlns:xm="http://schemas.microsoft.com/office/excel/2006/main">
          <x14:cfRule type="expression" priority="19" id="{21910D25-ACFF-447D-8ACA-1187ED848381}">
            <xm:f>OR($D55=判定!$L$7,$D55=判定!$L$8,$D55=判定!$L$9)</xm:f>
            <x14:dxf>
              <fill>
                <patternFill>
                  <bgColor rgb="FFFFFF99"/>
                </patternFill>
              </fill>
            </x14:dxf>
          </x14:cfRule>
          <xm:sqref>M55:P124 K55:K124 G55:H124</xm:sqref>
        </x14:conditionalFormatting>
        <x14:conditionalFormatting xmlns:xm="http://schemas.microsoft.com/office/excel/2006/main">
          <x14:cfRule type="expression" priority="20" id="{C3DAB2C2-C8B8-47FA-87D1-A44EED9FCEDC}">
            <xm:f>OR($D55=判定!$L$10,$D55=判定!$L$11,$D55=判定!$L$12,$D55=判定!$L$13,$D55=判定!$L$14,$D55=判定!$L$15,$D55=判定!$L$16,$D55=判定!$L$17,$D55=判定!$L$18,$D55=判定!$L$19,$D55=判定!$L$20,)</xm:f>
            <x14:dxf>
              <fill>
                <patternFill>
                  <bgColor rgb="FFFFFF99"/>
                </patternFill>
              </fill>
            </x14:dxf>
          </x14:cfRule>
          <xm:sqref>L55:P124</xm:sqref>
        </x14:conditionalFormatting>
        <x14:conditionalFormatting xmlns:xm="http://schemas.microsoft.com/office/excel/2006/main">
          <x14:cfRule type="expression" priority="17" id="{87C09D38-836D-468C-AB03-45713F6A2BBF}">
            <xm:f>$D55=判定!$L$21</xm:f>
            <x14:dxf>
              <font>
                <color auto="1"/>
              </font>
              <fill>
                <patternFill>
                  <bgColor rgb="FFFFFF99"/>
                </patternFill>
              </fill>
            </x14:dxf>
          </x14:cfRule>
          <xm:sqref>T55:T124 P55:P124</xm:sqref>
        </x14:conditionalFormatting>
        <x14:conditionalFormatting xmlns:xm="http://schemas.microsoft.com/office/excel/2006/main">
          <x14:cfRule type="expression" priority="14" id="{081058AF-4402-41CE-BF95-1B4DABAD3E94}">
            <xm:f>OR($D176=判定!$L$2,$D176=判定!$L$3,$D176=判定!$L$4,$D176=判定!$L$5,$D176=判定!$L$6)</xm:f>
            <x14:dxf>
              <fill>
                <patternFill>
                  <bgColor rgb="FFFFFF99"/>
                </patternFill>
              </fill>
            </x14:dxf>
          </x14:cfRule>
          <xm:sqref>E176:G187 K176:P187</xm:sqref>
        </x14:conditionalFormatting>
        <x14:conditionalFormatting xmlns:xm="http://schemas.microsoft.com/office/excel/2006/main">
          <x14:cfRule type="expression" priority="15" id="{C2BB741E-27A0-4B73-B35A-8F1569691344}">
            <xm:f>OR($D176=判定!$L$7,$D176=判定!$L$8,$D176=判定!$L$9)</xm:f>
            <x14:dxf>
              <fill>
                <patternFill>
                  <bgColor rgb="FFFFFF99"/>
                </patternFill>
              </fill>
            </x14:dxf>
          </x14:cfRule>
          <xm:sqref>G176:H187 K176:K187 M176:P187</xm:sqref>
        </x14:conditionalFormatting>
        <x14:conditionalFormatting xmlns:xm="http://schemas.microsoft.com/office/excel/2006/main">
          <x14:cfRule type="expression" priority="16" id="{F1CAF1BE-6F6B-4347-AE76-5807D452E08C}">
            <xm:f>OR($D176=判定!$L$10,$D176=判定!$L$11,$D176=判定!$L$12,$D176=判定!$L$13,$D176=判定!$L$14,$D176=判定!$L$15,$D176=判定!$L$16,$D176=判定!$L$17,$D176=判定!$L$18,$D176=判定!$L$19,$D176=判定!$L$20,)</xm:f>
            <x14:dxf>
              <fill>
                <patternFill>
                  <bgColor rgb="FFFFFF99"/>
                </patternFill>
              </fill>
            </x14:dxf>
          </x14:cfRule>
          <xm:sqref>L176:P187</xm:sqref>
        </x14:conditionalFormatting>
        <x14:conditionalFormatting xmlns:xm="http://schemas.microsoft.com/office/excel/2006/main">
          <x14:cfRule type="expression" priority="13" id="{110F3E2B-26D7-44F8-B562-03780D59B2A9}">
            <xm:f>$D176=判定!$L$21</xm:f>
            <x14:dxf>
              <font>
                <color auto="1"/>
              </font>
              <fill>
                <patternFill>
                  <bgColor rgb="FFFFFF99"/>
                </patternFill>
              </fill>
            </x14:dxf>
          </x14:cfRule>
          <xm:sqref>P176:P187 T176:T187</xm:sqref>
        </x14:conditionalFormatting>
        <x14:conditionalFormatting xmlns:xm="http://schemas.microsoft.com/office/excel/2006/main">
          <x14:cfRule type="expression" priority="10" id="{9B40BA04-DABD-46AF-855B-4AD3A9F90846}">
            <xm:f>OR($D203=判定!$L$2,$D203=判定!$L$3,$D203=判定!$L$4,$D203=判定!$L$5,$D203=判定!$L$6)</xm:f>
            <x14:dxf>
              <fill>
                <patternFill>
                  <bgColor rgb="FFFFFF99"/>
                </patternFill>
              </fill>
            </x14:dxf>
          </x14:cfRule>
          <xm:sqref>K203:P205 E203:G205</xm:sqref>
        </x14:conditionalFormatting>
        <x14:conditionalFormatting xmlns:xm="http://schemas.microsoft.com/office/excel/2006/main">
          <x14:cfRule type="expression" priority="11" id="{22210411-CA2E-4DDB-8E04-A738FD1BFECC}">
            <xm:f>OR($D203=判定!$L$7,$D203=判定!$L$8,$D203=判定!$L$9)</xm:f>
            <x14:dxf>
              <fill>
                <patternFill>
                  <bgColor rgb="FFFFFF99"/>
                </patternFill>
              </fill>
            </x14:dxf>
          </x14:cfRule>
          <xm:sqref>M203:P205 K203:K205 G203:H205</xm:sqref>
        </x14:conditionalFormatting>
        <x14:conditionalFormatting xmlns:xm="http://schemas.microsoft.com/office/excel/2006/main">
          <x14:cfRule type="expression" priority="12" id="{350924C2-74AD-44B7-9AC0-E9B0517D0E0B}">
            <xm:f>OR($D203=判定!$L$10,$D203=判定!$L$11,$D203=判定!$L$12,$D203=判定!$L$13,$D203=判定!$L$14,$D203=判定!$L$15,$D203=判定!$L$16,$D203=判定!$L$17,$D203=判定!$L$18,$D203=判定!$L$19,$D203=判定!$L$20,)</xm:f>
            <x14:dxf>
              <fill>
                <patternFill>
                  <bgColor rgb="FFFFFF99"/>
                </patternFill>
              </fill>
            </x14:dxf>
          </x14:cfRule>
          <xm:sqref>L203:P205</xm:sqref>
        </x14:conditionalFormatting>
        <x14:conditionalFormatting xmlns:xm="http://schemas.microsoft.com/office/excel/2006/main">
          <x14:cfRule type="expression" priority="9" id="{F4580234-28F9-4A64-B35E-0CD5147E4113}">
            <xm:f>$D203=判定!$L$21</xm:f>
            <x14:dxf>
              <font>
                <color auto="1"/>
              </font>
              <fill>
                <patternFill>
                  <bgColor rgb="FFFFFF99"/>
                </patternFill>
              </fill>
            </x14:dxf>
          </x14:cfRule>
          <xm:sqref>T203:T205 P203:P205</xm:sqref>
        </x14:conditionalFormatting>
        <x14:conditionalFormatting xmlns:xm="http://schemas.microsoft.com/office/excel/2006/main">
          <x14:cfRule type="expression" priority="6" id="{DEADEEA8-D5C4-4F08-8093-B3223C689DB3}">
            <xm:f>OR($D198=判定!$L$2,$D198=判定!$L$3,$D198=判定!$L$4,$D198=判定!$L$5,$D198=判定!$L$6)</xm:f>
            <x14:dxf>
              <fill>
                <patternFill>
                  <bgColor rgb="FFFFFF99"/>
                </patternFill>
              </fill>
            </x14:dxf>
          </x14:cfRule>
          <xm:sqref>K198:P198 E198:G198</xm:sqref>
        </x14:conditionalFormatting>
        <x14:conditionalFormatting xmlns:xm="http://schemas.microsoft.com/office/excel/2006/main">
          <x14:cfRule type="expression" priority="7" id="{74A950AE-8E7E-4AC3-83FF-85FB1734A5C6}">
            <xm:f>OR($D198=判定!$L$7,$D198=判定!$L$8,$D198=判定!$L$9)</xm:f>
            <x14:dxf>
              <fill>
                <patternFill>
                  <bgColor rgb="FFFFFF99"/>
                </patternFill>
              </fill>
            </x14:dxf>
          </x14:cfRule>
          <xm:sqref>M198:P198 K198 G198:H198</xm:sqref>
        </x14:conditionalFormatting>
        <x14:conditionalFormatting xmlns:xm="http://schemas.microsoft.com/office/excel/2006/main">
          <x14:cfRule type="expression" priority="8" id="{B0A1E968-6310-494B-8F38-642E3385DB97}">
            <xm:f>OR($D198=判定!$L$10,$D198=判定!$L$11,$D198=判定!$L$12,$D198=判定!$L$13,$D198=判定!$L$14,$D198=判定!$L$15,$D198=判定!$L$16,$D198=判定!$L$17,$D198=判定!$L$18,$D198=判定!$L$19,$D198=判定!$L$20,)</xm:f>
            <x14:dxf>
              <fill>
                <patternFill>
                  <bgColor rgb="FFFFFF99"/>
                </patternFill>
              </fill>
            </x14:dxf>
          </x14:cfRule>
          <xm:sqref>L198:P198</xm:sqref>
        </x14:conditionalFormatting>
        <x14:conditionalFormatting xmlns:xm="http://schemas.microsoft.com/office/excel/2006/main">
          <x14:cfRule type="expression" priority="5" id="{1ECBF66C-90EA-4D69-A574-CD08C119DE74}">
            <xm:f>$D198=判定!$L$21</xm:f>
            <x14:dxf>
              <font>
                <color auto="1"/>
              </font>
              <fill>
                <patternFill>
                  <bgColor rgb="FFFFFF99"/>
                </patternFill>
              </fill>
            </x14:dxf>
          </x14:cfRule>
          <xm:sqref>T198 P198</xm:sqref>
        </x14:conditionalFormatting>
        <x14:conditionalFormatting xmlns:xm="http://schemas.microsoft.com/office/excel/2006/main">
          <x14:cfRule type="expression" priority="2" id="{8D68CFA3-6896-4F46-A675-BF8089CB7539}">
            <xm:f>OR($D199=判定!$L$2,$D199=判定!$L$3,$D199=判定!$L$4,$D199=判定!$L$5,$D199=判定!$L$6)</xm:f>
            <x14:dxf>
              <fill>
                <patternFill>
                  <bgColor rgb="FFFFFF99"/>
                </patternFill>
              </fill>
            </x14:dxf>
          </x14:cfRule>
          <xm:sqref>K199:P201 E199:G201</xm:sqref>
        </x14:conditionalFormatting>
        <x14:conditionalFormatting xmlns:xm="http://schemas.microsoft.com/office/excel/2006/main">
          <x14:cfRule type="expression" priority="3" id="{5E7A8FBC-5EE9-43B5-97C7-B053E1A64858}">
            <xm:f>OR($D199=判定!$L$7,$D199=判定!$L$8,$D199=判定!$L$9)</xm:f>
            <x14:dxf>
              <fill>
                <patternFill>
                  <bgColor rgb="FFFFFF99"/>
                </patternFill>
              </fill>
            </x14:dxf>
          </x14:cfRule>
          <xm:sqref>M199:P201 K199:K201 G199:H201</xm:sqref>
        </x14:conditionalFormatting>
        <x14:conditionalFormatting xmlns:xm="http://schemas.microsoft.com/office/excel/2006/main">
          <x14:cfRule type="expression" priority="4" id="{FA5593B0-E0B0-4598-BA0E-CED17EF903B8}">
            <xm:f>OR($D199=判定!$L$10,$D199=判定!$L$11,$D199=判定!$L$12,$D199=判定!$L$13,$D199=判定!$L$14,$D199=判定!$L$15,$D199=判定!$L$16,$D199=判定!$L$17,$D199=判定!$L$18,$D199=判定!$L$19,$D199=判定!$L$20,)</xm:f>
            <x14:dxf>
              <fill>
                <patternFill>
                  <bgColor rgb="FFFFFF99"/>
                </patternFill>
              </fill>
            </x14:dxf>
          </x14:cfRule>
          <xm:sqref>L199:P201</xm:sqref>
        </x14:conditionalFormatting>
        <x14:conditionalFormatting xmlns:xm="http://schemas.microsoft.com/office/excel/2006/main">
          <x14:cfRule type="expression" priority="1" id="{EE1CC7DB-B037-4052-AFC3-C9659F670E01}">
            <xm:f>$D199=判定!$L$21</xm:f>
            <x14:dxf>
              <font>
                <color auto="1"/>
              </font>
              <fill>
                <patternFill>
                  <bgColor rgb="FFFFFF99"/>
                </patternFill>
              </fill>
            </x14:dxf>
          </x14:cfRule>
          <xm:sqref>T199:T201 P199:P201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判定!$L$2:$L$21</xm:f>
          </x14:formula1>
          <xm:sqref>D15:D214</xm:sqref>
        </x14:dataValidation>
        <x14:dataValidation type="list" allowBlank="1" showInputMessage="1" prompt="リストに当てはまる場合は、リストから選択してください。_x000a_例）リビング→居間">
          <x14:formula1>
            <xm:f>判定!$K$2:$K$6</xm:f>
          </x14:formula1>
          <xm:sqref>C15:C214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627"/>
  <sheetViews>
    <sheetView view="pageBreakPreview" zoomScale="130" zoomScaleNormal="100" zoomScaleSheetLayoutView="130" workbookViewId="0">
      <selection activeCell="B9" sqref="B9:H27"/>
    </sheetView>
  </sheetViews>
  <sheetFormatPr defaultRowHeight="13" x14ac:dyDescent="0.2"/>
  <cols>
    <col min="1" max="2" width="9.453125" style="213" customWidth="1"/>
    <col min="3" max="7" width="8.7265625" style="213"/>
    <col min="8" max="8" width="8.7265625" style="213" customWidth="1"/>
    <col min="9" max="9" width="3.453125" style="213" customWidth="1"/>
    <col min="10" max="10" width="20.6328125" style="208" customWidth="1"/>
    <col min="11" max="16384" width="8.7265625" style="213"/>
  </cols>
  <sheetData>
    <row r="9" spans="2:10" x14ac:dyDescent="0.2">
      <c r="B9" s="594" t="s">
        <v>285</v>
      </c>
      <c r="C9" s="595"/>
      <c r="D9" s="595"/>
      <c r="E9" s="595"/>
      <c r="F9" s="595"/>
      <c r="G9" s="595"/>
      <c r="H9" s="596"/>
      <c r="I9" s="211"/>
      <c r="J9" s="212" t="s">
        <v>273</v>
      </c>
    </row>
    <row r="10" spans="2:10" x14ac:dyDescent="0.2">
      <c r="B10" s="597"/>
      <c r="C10" s="598"/>
      <c r="D10" s="598"/>
      <c r="E10" s="598"/>
      <c r="F10" s="598"/>
      <c r="G10" s="598"/>
      <c r="H10" s="599"/>
      <c r="I10" s="211"/>
      <c r="J10" s="214" t="s">
        <v>347</v>
      </c>
    </row>
    <row r="11" spans="2:10" x14ac:dyDescent="0.2">
      <c r="B11" s="597"/>
      <c r="C11" s="598"/>
      <c r="D11" s="598"/>
      <c r="E11" s="598"/>
      <c r="F11" s="598"/>
      <c r="G11" s="598"/>
      <c r="H11" s="599"/>
      <c r="I11" s="211"/>
      <c r="J11" s="214" t="s">
        <v>348</v>
      </c>
    </row>
    <row r="12" spans="2:10" x14ac:dyDescent="0.2">
      <c r="B12" s="597"/>
      <c r="C12" s="598"/>
      <c r="D12" s="598"/>
      <c r="E12" s="598"/>
      <c r="F12" s="598"/>
      <c r="G12" s="598"/>
      <c r="H12" s="599"/>
      <c r="I12" s="211"/>
      <c r="J12" s="214" t="s">
        <v>349</v>
      </c>
    </row>
    <row r="13" spans="2:10" x14ac:dyDescent="0.2">
      <c r="B13" s="597"/>
      <c r="C13" s="598"/>
      <c r="D13" s="598"/>
      <c r="E13" s="598"/>
      <c r="F13" s="598"/>
      <c r="G13" s="598"/>
      <c r="H13" s="599"/>
      <c r="I13" s="211"/>
      <c r="J13" s="215"/>
    </row>
    <row r="14" spans="2:10" x14ac:dyDescent="0.2">
      <c r="B14" s="597"/>
      <c r="C14" s="598"/>
      <c r="D14" s="598"/>
      <c r="E14" s="598"/>
      <c r="F14" s="598"/>
      <c r="G14" s="598"/>
      <c r="H14" s="599"/>
      <c r="I14" s="211"/>
      <c r="J14" s="215"/>
    </row>
    <row r="15" spans="2:10" x14ac:dyDescent="0.2">
      <c r="B15" s="597"/>
      <c r="C15" s="598"/>
      <c r="D15" s="598"/>
      <c r="E15" s="598"/>
      <c r="F15" s="598"/>
      <c r="G15" s="598"/>
      <c r="H15" s="599"/>
      <c r="I15" s="211"/>
      <c r="J15" s="215"/>
    </row>
    <row r="16" spans="2:10" x14ac:dyDescent="0.2">
      <c r="B16" s="597"/>
      <c r="C16" s="598"/>
      <c r="D16" s="598"/>
      <c r="E16" s="598"/>
      <c r="F16" s="598"/>
      <c r="G16" s="598"/>
      <c r="H16" s="599"/>
      <c r="I16" s="211"/>
      <c r="J16" s="215"/>
    </row>
    <row r="17" spans="2:10" x14ac:dyDescent="0.2">
      <c r="B17" s="597"/>
      <c r="C17" s="598"/>
      <c r="D17" s="598"/>
      <c r="E17" s="598"/>
      <c r="F17" s="598"/>
      <c r="G17" s="598"/>
      <c r="H17" s="599"/>
      <c r="I17" s="211"/>
      <c r="J17" s="215"/>
    </row>
    <row r="18" spans="2:10" x14ac:dyDescent="0.2">
      <c r="B18" s="597"/>
      <c r="C18" s="598"/>
      <c r="D18" s="598"/>
      <c r="E18" s="598"/>
      <c r="F18" s="598"/>
      <c r="G18" s="598"/>
      <c r="H18" s="599"/>
      <c r="I18" s="211"/>
      <c r="J18" s="215"/>
    </row>
    <row r="19" spans="2:10" x14ac:dyDescent="0.2">
      <c r="B19" s="597"/>
      <c r="C19" s="598"/>
      <c r="D19" s="598"/>
      <c r="E19" s="598"/>
      <c r="F19" s="598"/>
      <c r="G19" s="598"/>
      <c r="H19" s="599"/>
      <c r="I19" s="211"/>
      <c r="J19" s="215"/>
    </row>
    <row r="20" spans="2:10" x14ac:dyDescent="0.2">
      <c r="B20" s="597"/>
      <c r="C20" s="598"/>
      <c r="D20" s="598"/>
      <c r="E20" s="598"/>
      <c r="F20" s="598"/>
      <c r="G20" s="598"/>
      <c r="H20" s="599"/>
      <c r="I20" s="211"/>
      <c r="J20" s="215"/>
    </row>
    <row r="21" spans="2:10" x14ac:dyDescent="0.2">
      <c r="B21" s="597"/>
      <c r="C21" s="598"/>
      <c r="D21" s="598"/>
      <c r="E21" s="598"/>
      <c r="F21" s="598"/>
      <c r="G21" s="598"/>
      <c r="H21" s="599"/>
      <c r="I21" s="211"/>
      <c r="J21" s="215"/>
    </row>
    <row r="22" spans="2:10" x14ac:dyDescent="0.2">
      <c r="B22" s="597"/>
      <c r="C22" s="598"/>
      <c r="D22" s="598"/>
      <c r="E22" s="598"/>
      <c r="F22" s="598"/>
      <c r="G22" s="598"/>
      <c r="H22" s="599"/>
      <c r="I22" s="211"/>
      <c r="J22" s="215"/>
    </row>
    <row r="23" spans="2:10" x14ac:dyDescent="0.2">
      <c r="B23" s="597"/>
      <c r="C23" s="598"/>
      <c r="D23" s="598"/>
      <c r="E23" s="598"/>
      <c r="F23" s="598"/>
      <c r="G23" s="598"/>
      <c r="H23" s="599"/>
      <c r="I23" s="211"/>
      <c r="J23" s="215"/>
    </row>
    <row r="24" spans="2:10" x14ac:dyDescent="0.2">
      <c r="B24" s="597"/>
      <c r="C24" s="598"/>
      <c r="D24" s="598"/>
      <c r="E24" s="598"/>
      <c r="F24" s="598"/>
      <c r="G24" s="598"/>
      <c r="H24" s="599"/>
      <c r="I24" s="211"/>
      <c r="J24" s="215"/>
    </row>
    <row r="25" spans="2:10" x14ac:dyDescent="0.2">
      <c r="B25" s="597"/>
      <c r="C25" s="598"/>
      <c r="D25" s="598"/>
      <c r="E25" s="598"/>
      <c r="F25" s="598"/>
      <c r="G25" s="598"/>
      <c r="H25" s="599"/>
      <c r="I25" s="211"/>
      <c r="J25" s="215"/>
    </row>
    <row r="26" spans="2:10" x14ac:dyDescent="0.2">
      <c r="B26" s="597"/>
      <c r="C26" s="598"/>
      <c r="D26" s="598"/>
      <c r="E26" s="598"/>
      <c r="F26" s="598"/>
      <c r="G26" s="598"/>
      <c r="H26" s="599"/>
      <c r="I26" s="211"/>
      <c r="J26" s="215"/>
    </row>
    <row r="27" spans="2:10" x14ac:dyDescent="0.2">
      <c r="B27" s="600"/>
      <c r="C27" s="601"/>
      <c r="D27" s="601"/>
      <c r="E27" s="601"/>
      <c r="F27" s="601"/>
      <c r="G27" s="601"/>
      <c r="H27" s="602"/>
      <c r="I27" s="211"/>
      <c r="J27" s="215"/>
    </row>
    <row r="28" spans="2:10" x14ac:dyDescent="0.2">
      <c r="J28" s="215"/>
    </row>
    <row r="29" spans="2:10" x14ac:dyDescent="0.2">
      <c r="J29" s="215"/>
    </row>
    <row r="30" spans="2:10" x14ac:dyDescent="0.2">
      <c r="B30" s="594" t="s">
        <v>285</v>
      </c>
      <c r="C30" s="595"/>
      <c r="D30" s="595"/>
      <c r="E30" s="595"/>
      <c r="F30" s="595"/>
      <c r="G30" s="595"/>
      <c r="H30" s="596"/>
      <c r="I30" s="211"/>
      <c r="J30" s="212" t="s">
        <v>274</v>
      </c>
    </row>
    <row r="31" spans="2:10" x14ac:dyDescent="0.2">
      <c r="B31" s="597"/>
      <c r="C31" s="598"/>
      <c r="D31" s="598"/>
      <c r="E31" s="598"/>
      <c r="F31" s="598"/>
      <c r="G31" s="598"/>
      <c r="H31" s="599"/>
      <c r="I31" s="211"/>
      <c r="J31" s="214"/>
    </row>
    <row r="32" spans="2:10" x14ac:dyDescent="0.2">
      <c r="B32" s="597"/>
      <c r="C32" s="598"/>
      <c r="D32" s="598"/>
      <c r="E32" s="598"/>
      <c r="F32" s="598"/>
      <c r="G32" s="598"/>
      <c r="H32" s="599"/>
      <c r="I32" s="211"/>
      <c r="J32" s="214"/>
    </row>
    <row r="33" spans="2:10" x14ac:dyDescent="0.2">
      <c r="B33" s="597"/>
      <c r="C33" s="598"/>
      <c r="D33" s="598"/>
      <c r="E33" s="598"/>
      <c r="F33" s="598"/>
      <c r="G33" s="598"/>
      <c r="H33" s="599"/>
      <c r="I33" s="211"/>
      <c r="J33" s="214"/>
    </row>
    <row r="34" spans="2:10" x14ac:dyDescent="0.2">
      <c r="B34" s="597"/>
      <c r="C34" s="598"/>
      <c r="D34" s="598"/>
      <c r="E34" s="598"/>
      <c r="F34" s="598"/>
      <c r="G34" s="598"/>
      <c r="H34" s="599"/>
      <c r="I34" s="211"/>
      <c r="J34" s="215"/>
    </row>
    <row r="35" spans="2:10" x14ac:dyDescent="0.2">
      <c r="B35" s="597"/>
      <c r="C35" s="598"/>
      <c r="D35" s="598"/>
      <c r="E35" s="598"/>
      <c r="F35" s="598"/>
      <c r="G35" s="598"/>
      <c r="H35" s="599"/>
      <c r="I35" s="211"/>
      <c r="J35" s="215"/>
    </row>
    <row r="36" spans="2:10" x14ac:dyDescent="0.2">
      <c r="B36" s="597"/>
      <c r="C36" s="598"/>
      <c r="D36" s="598"/>
      <c r="E36" s="598"/>
      <c r="F36" s="598"/>
      <c r="G36" s="598"/>
      <c r="H36" s="599"/>
      <c r="I36" s="211"/>
      <c r="J36" s="215"/>
    </row>
    <row r="37" spans="2:10" x14ac:dyDescent="0.2">
      <c r="B37" s="597"/>
      <c r="C37" s="598"/>
      <c r="D37" s="598"/>
      <c r="E37" s="598"/>
      <c r="F37" s="598"/>
      <c r="G37" s="598"/>
      <c r="H37" s="599"/>
      <c r="I37" s="211"/>
      <c r="J37" s="215"/>
    </row>
    <row r="38" spans="2:10" x14ac:dyDescent="0.2">
      <c r="B38" s="597"/>
      <c r="C38" s="598"/>
      <c r="D38" s="598"/>
      <c r="E38" s="598"/>
      <c r="F38" s="598"/>
      <c r="G38" s="598"/>
      <c r="H38" s="599"/>
      <c r="I38" s="211"/>
      <c r="J38" s="215"/>
    </row>
    <row r="39" spans="2:10" x14ac:dyDescent="0.2">
      <c r="B39" s="597"/>
      <c r="C39" s="598"/>
      <c r="D39" s="598"/>
      <c r="E39" s="598"/>
      <c r="F39" s="598"/>
      <c r="G39" s="598"/>
      <c r="H39" s="599"/>
      <c r="I39" s="211"/>
      <c r="J39" s="215"/>
    </row>
    <row r="40" spans="2:10" x14ac:dyDescent="0.2">
      <c r="B40" s="597"/>
      <c r="C40" s="598"/>
      <c r="D40" s="598"/>
      <c r="E40" s="598"/>
      <c r="F40" s="598"/>
      <c r="G40" s="598"/>
      <c r="H40" s="599"/>
      <c r="I40" s="211"/>
      <c r="J40" s="215"/>
    </row>
    <row r="41" spans="2:10" x14ac:dyDescent="0.2">
      <c r="B41" s="597"/>
      <c r="C41" s="598"/>
      <c r="D41" s="598"/>
      <c r="E41" s="598"/>
      <c r="F41" s="598"/>
      <c r="G41" s="598"/>
      <c r="H41" s="599"/>
      <c r="I41" s="211"/>
      <c r="J41" s="215"/>
    </row>
    <row r="42" spans="2:10" x14ac:dyDescent="0.2">
      <c r="B42" s="597"/>
      <c r="C42" s="598"/>
      <c r="D42" s="598"/>
      <c r="E42" s="598"/>
      <c r="F42" s="598"/>
      <c r="G42" s="598"/>
      <c r="H42" s="599"/>
      <c r="I42" s="211"/>
      <c r="J42" s="215"/>
    </row>
    <row r="43" spans="2:10" x14ac:dyDescent="0.2">
      <c r="B43" s="597"/>
      <c r="C43" s="598"/>
      <c r="D43" s="598"/>
      <c r="E43" s="598"/>
      <c r="F43" s="598"/>
      <c r="G43" s="598"/>
      <c r="H43" s="599"/>
      <c r="I43" s="211"/>
      <c r="J43" s="215"/>
    </row>
    <row r="44" spans="2:10" x14ac:dyDescent="0.2">
      <c r="B44" s="597"/>
      <c r="C44" s="598"/>
      <c r="D44" s="598"/>
      <c r="E44" s="598"/>
      <c r="F44" s="598"/>
      <c r="G44" s="598"/>
      <c r="H44" s="599"/>
      <c r="I44" s="211"/>
      <c r="J44" s="215"/>
    </row>
    <row r="45" spans="2:10" x14ac:dyDescent="0.2">
      <c r="B45" s="597"/>
      <c r="C45" s="598"/>
      <c r="D45" s="598"/>
      <c r="E45" s="598"/>
      <c r="F45" s="598"/>
      <c r="G45" s="598"/>
      <c r="H45" s="599"/>
      <c r="I45" s="211"/>
      <c r="J45" s="215"/>
    </row>
    <row r="46" spans="2:10" x14ac:dyDescent="0.2">
      <c r="B46" s="597"/>
      <c r="C46" s="598"/>
      <c r="D46" s="598"/>
      <c r="E46" s="598"/>
      <c r="F46" s="598"/>
      <c r="G46" s="598"/>
      <c r="H46" s="599"/>
      <c r="I46" s="211"/>
      <c r="J46" s="215"/>
    </row>
    <row r="47" spans="2:10" x14ac:dyDescent="0.2">
      <c r="B47" s="597"/>
      <c r="C47" s="598"/>
      <c r="D47" s="598"/>
      <c r="E47" s="598"/>
      <c r="F47" s="598"/>
      <c r="G47" s="598"/>
      <c r="H47" s="599"/>
      <c r="I47" s="211"/>
      <c r="J47" s="215"/>
    </row>
    <row r="48" spans="2:10" x14ac:dyDescent="0.2">
      <c r="B48" s="600"/>
      <c r="C48" s="601"/>
      <c r="D48" s="601"/>
      <c r="E48" s="601"/>
      <c r="F48" s="601"/>
      <c r="G48" s="601"/>
      <c r="H48" s="602"/>
      <c r="I48" s="211"/>
      <c r="J48" s="215"/>
    </row>
    <row r="49" spans="2:10" x14ac:dyDescent="0.2">
      <c r="J49" s="215"/>
    </row>
    <row r="50" spans="2:10" x14ac:dyDescent="0.2">
      <c r="J50" s="215"/>
    </row>
    <row r="51" spans="2:10" x14ac:dyDescent="0.2">
      <c r="B51" s="594" t="s">
        <v>285</v>
      </c>
      <c r="C51" s="595"/>
      <c r="D51" s="595"/>
      <c r="E51" s="595"/>
      <c r="F51" s="595"/>
      <c r="G51" s="595"/>
      <c r="H51" s="596"/>
      <c r="I51" s="211"/>
      <c r="J51" s="212" t="s">
        <v>275</v>
      </c>
    </row>
    <row r="52" spans="2:10" x14ac:dyDescent="0.2">
      <c r="B52" s="597"/>
      <c r="C52" s="598"/>
      <c r="D52" s="598"/>
      <c r="E52" s="598"/>
      <c r="F52" s="598"/>
      <c r="G52" s="598"/>
      <c r="H52" s="599"/>
      <c r="I52" s="211"/>
      <c r="J52" s="214"/>
    </row>
    <row r="53" spans="2:10" x14ac:dyDescent="0.2">
      <c r="B53" s="597"/>
      <c r="C53" s="598"/>
      <c r="D53" s="598"/>
      <c r="E53" s="598"/>
      <c r="F53" s="598"/>
      <c r="G53" s="598"/>
      <c r="H53" s="599"/>
      <c r="I53" s="211"/>
      <c r="J53" s="214"/>
    </row>
    <row r="54" spans="2:10" x14ac:dyDescent="0.2">
      <c r="B54" s="597"/>
      <c r="C54" s="598"/>
      <c r="D54" s="598"/>
      <c r="E54" s="598"/>
      <c r="F54" s="598"/>
      <c r="G54" s="598"/>
      <c r="H54" s="599"/>
      <c r="I54" s="211"/>
      <c r="J54" s="214"/>
    </row>
    <row r="55" spans="2:10" x14ac:dyDescent="0.2">
      <c r="B55" s="597"/>
      <c r="C55" s="598"/>
      <c r="D55" s="598"/>
      <c r="E55" s="598"/>
      <c r="F55" s="598"/>
      <c r="G55" s="598"/>
      <c r="H55" s="599"/>
      <c r="I55" s="211"/>
      <c r="J55" s="215"/>
    </row>
    <row r="56" spans="2:10" x14ac:dyDescent="0.2">
      <c r="B56" s="597"/>
      <c r="C56" s="598"/>
      <c r="D56" s="598"/>
      <c r="E56" s="598"/>
      <c r="F56" s="598"/>
      <c r="G56" s="598"/>
      <c r="H56" s="599"/>
      <c r="I56" s="211"/>
      <c r="J56" s="215"/>
    </row>
    <row r="57" spans="2:10" x14ac:dyDescent="0.2">
      <c r="B57" s="597"/>
      <c r="C57" s="598"/>
      <c r="D57" s="598"/>
      <c r="E57" s="598"/>
      <c r="F57" s="598"/>
      <c r="G57" s="598"/>
      <c r="H57" s="599"/>
      <c r="I57" s="211"/>
    </row>
    <row r="58" spans="2:10" x14ac:dyDescent="0.2">
      <c r="B58" s="597"/>
      <c r="C58" s="598"/>
      <c r="D58" s="598"/>
      <c r="E58" s="598"/>
      <c r="F58" s="598"/>
      <c r="G58" s="598"/>
      <c r="H58" s="599"/>
      <c r="I58" s="211"/>
    </row>
    <row r="59" spans="2:10" x14ac:dyDescent="0.2">
      <c r="B59" s="597"/>
      <c r="C59" s="598"/>
      <c r="D59" s="598"/>
      <c r="E59" s="598"/>
      <c r="F59" s="598"/>
      <c r="G59" s="598"/>
      <c r="H59" s="599"/>
      <c r="I59" s="211"/>
    </row>
    <row r="60" spans="2:10" x14ac:dyDescent="0.2">
      <c r="B60" s="597"/>
      <c r="C60" s="598"/>
      <c r="D60" s="598"/>
      <c r="E60" s="598"/>
      <c r="F60" s="598"/>
      <c r="G60" s="598"/>
      <c r="H60" s="599"/>
      <c r="I60" s="211"/>
    </row>
    <row r="61" spans="2:10" x14ac:dyDescent="0.2">
      <c r="B61" s="597"/>
      <c r="C61" s="598"/>
      <c r="D61" s="598"/>
      <c r="E61" s="598"/>
      <c r="F61" s="598"/>
      <c r="G61" s="598"/>
      <c r="H61" s="599"/>
      <c r="I61" s="211"/>
    </row>
    <row r="62" spans="2:10" x14ac:dyDescent="0.2">
      <c r="B62" s="597"/>
      <c r="C62" s="598"/>
      <c r="D62" s="598"/>
      <c r="E62" s="598"/>
      <c r="F62" s="598"/>
      <c r="G62" s="598"/>
      <c r="H62" s="599"/>
      <c r="I62" s="211"/>
    </row>
    <row r="63" spans="2:10" x14ac:dyDescent="0.2">
      <c r="B63" s="597"/>
      <c r="C63" s="598"/>
      <c r="D63" s="598"/>
      <c r="E63" s="598"/>
      <c r="F63" s="598"/>
      <c r="G63" s="598"/>
      <c r="H63" s="599"/>
      <c r="I63" s="211"/>
    </row>
    <row r="64" spans="2:10" x14ac:dyDescent="0.2">
      <c r="B64" s="597"/>
      <c r="C64" s="598"/>
      <c r="D64" s="598"/>
      <c r="E64" s="598"/>
      <c r="F64" s="598"/>
      <c r="G64" s="598"/>
      <c r="H64" s="599"/>
      <c r="I64" s="211"/>
    </row>
    <row r="65" spans="2:10" x14ac:dyDescent="0.2">
      <c r="B65" s="597"/>
      <c r="C65" s="598"/>
      <c r="D65" s="598"/>
      <c r="E65" s="598"/>
      <c r="F65" s="598"/>
      <c r="G65" s="598"/>
      <c r="H65" s="599"/>
      <c r="I65" s="211"/>
    </row>
    <row r="66" spans="2:10" x14ac:dyDescent="0.2">
      <c r="B66" s="597"/>
      <c r="C66" s="598"/>
      <c r="D66" s="598"/>
      <c r="E66" s="598"/>
      <c r="F66" s="598"/>
      <c r="G66" s="598"/>
      <c r="H66" s="599"/>
      <c r="I66" s="211"/>
    </row>
    <row r="67" spans="2:10" x14ac:dyDescent="0.2">
      <c r="B67" s="597"/>
      <c r="C67" s="598"/>
      <c r="D67" s="598"/>
      <c r="E67" s="598"/>
      <c r="F67" s="598"/>
      <c r="G67" s="598"/>
      <c r="H67" s="599"/>
      <c r="I67" s="211"/>
    </row>
    <row r="68" spans="2:10" x14ac:dyDescent="0.2">
      <c r="B68" s="597"/>
      <c r="C68" s="598"/>
      <c r="D68" s="598"/>
      <c r="E68" s="598"/>
      <c r="F68" s="598"/>
      <c r="G68" s="598"/>
      <c r="H68" s="599"/>
      <c r="I68" s="211"/>
    </row>
    <row r="69" spans="2:10" x14ac:dyDescent="0.2">
      <c r="B69" s="600"/>
      <c r="C69" s="601"/>
      <c r="D69" s="601"/>
      <c r="E69" s="601"/>
      <c r="F69" s="601"/>
      <c r="G69" s="601"/>
      <c r="H69" s="602"/>
      <c r="I69" s="211"/>
    </row>
    <row r="71" spans="2:10" x14ac:dyDescent="0.2">
      <c r="B71" s="594" t="s">
        <v>285</v>
      </c>
      <c r="C71" s="595"/>
      <c r="D71" s="595"/>
      <c r="E71" s="595"/>
      <c r="F71" s="595"/>
      <c r="G71" s="595"/>
      <c r="H71" s="596"/>
      <c r="I71" s="211"/>
      <c r="J71" s="209"/>
    </row>
    <row r="72" spans="2:10" x14ac:dyDescent="0.2">
      <c r="B72" s="597"/>
      <c r="C72" s="598"/>
      <c r="D72" s="598"/>
      <c r="E72" s="598"/>
      <c r="F72" s="598"/>
      <c r="G72" s="598"/>
      <c r="H72" s="599"/>
      <c r="I72" s="211"/>
      <c r="J72" s="207"/>
    </row>
    <row r="73" spans="2:10" x14ac:dyDescent="0.2">
      <c r="B73" s="597"/>
      <c r="C73" s="598"/>
      <c r="D73" s="598"/>
      <c r="E73" s="598"/>
      <c r="F73" s="598"/>
      <c r="G73" s="598"/>
      <c r="H73" s="599"/>
      <c r="I73" s="211"/>
      <c r="J73" s="207"/>
    </row>
    <row r="74" spans="2:10" x14ac:dyDescent="0.2">
      <c r="B74" s="597"/>
      <c r="C74" s="598"/>
      <c r="D74" s="598"/>
      <c r="E74" s="598"/>
      <c r="F74" s="598"/>
      <c r="G74" s="598"/>
      <c r="H74" s="599"/>
      <c r="I74" s="211"/>
      <c r="J74" s="207"/>
    </row>
    <row r="75" spans="2:10" x14ac:dyDescent="0.2">
      <c r="B75" s="597"/>
      <c r="C75" s="598"/>
      <c r="D75" s="598"/>
      <c r="E75" s="598"/>
      <c r="F75" s="598"/>
      <c r="G75" s="598"/>
      <c r="H75" s="599"/>
      <c r="I75" s="211"/>
    </row>
    <row r="76" spans="2:10" x14ac:dyDescent="0.2">
      <c r="B76" s="597"/>
      <c r="C76" s="598"/>
      <c r="D76" s="598"/>
      <c r="E76" s="598"/>
      <c r="F76" s="598"/>
      <c r="G76" s="598"/>
      <c r="H76" s="599"/>
      <c r="I76" s="211"/>
    </row>
    <row r="77" spans="2:10" x14ac:dyDescent="0.2">
      <c r="B77" s="597"/>
      <c r="C77" s="598"/>
      <c r="D77" s="598"/>
      <c r="E77" s="598"/>
      <c r="F77" s="598"/>
      <c r="G77" s="598"/>
      <c r="H77" s="599"/>
      <c r="I77" s="211"/>
    </row>
    <row r="78" spans="2:10" x14ac:dyDescent="0.2">
      <c r="B78" s="597"/>
      <c r="C78" s="598"/>
      <c r="D78" s="598"/>
      <c r="E78" s="598"/>
      <c r="F78" s="598"/>
      <c r="G78" s="598"/>
      <c r="H78" s="599"/>
      <c r="I78" s="211"/>
    </row>
    <row r="79" spans="2:10" x14ac:dyDescent="0.2">
      <c r="B79" s="597"/>
      <c r="C79" s="598"/>
      <c r="D79" s="598"/>
      <c r="E79" s="598"/>
      <c r="F79" s="598"/>
      <c r="G79" s="598"/>
      <c r="H79" s="599"/>
      <c r="I79" s="211"/>
    </row>
    <row r="80" spans="2:10" x14ac:dyDescent="0.2">
      <c r="B80" s="597"/>
      <c r="C80" s="598"/>
      <c r="D80" s="598"/>
      <c r="E80" s="598"/>
      <c r="F80" s="598"/>
      <c r="G80" s="598"/>
      <c r="H80" s="599"/>
      <c r="I80" s="211"/>
    </row>
    <row r="81" spans="2:10" x14ac:dyDescent="0.2">
      <c r="B81" s="597"/>
      <c r="C81" s="598"/>
      <c r="D81" s="598"/>
      <c r="E81" s="598"/>
      <c r="F81" s="598"/>
      <c r="G81" s="598"/>
      <c r="H81" s="599"/>
      <c r="I81" s="211"/>
    </row>
    <row r="82" spans="2:10" x14ac:dyDescent="0.2">
      <c r="B82" s="597"/>
      <c r="C82" s="598"/>
      <c r="D82" s="598"/>
      <c r="E82" s="598"/>
      <c r="F82" s="598"/>
      <c r="G82" s="598"/>
      <c r="H82" s="599"/>
      <c r="I82" s="211"/>
    </row>
    <row r="83" spans="2:10" x14ac:dyDescent="0.2">
      <c r="B83" s="597"/>
      <c r="C83" s="598"/>
      <c r="D83" s="598"/>
      <c r="E83" s="598"/>
      <c r="F83" s="598"/>
      <c r="G83" s="598"/>
      <c r="H83" s="599"/>
      <c r="I83" s="211"/>
    </row>
    <row r="84" spans="2:10" x14ac:dyDescent="0.2">
      <c r="B84" s="597"/>
      <c r="C84" s="598"/>
      <c r="D84" s="598"/>
      <c r="E84" s="598"/>
      <c r="F84" s="598"/>
      <c r="G84" s="598"/>
      <c r="H84" s="599"/>
      <c r="I84" s="211"/>
    </row>
    <row r="85" spans="2:10" x14ac:dyDescent="0.2">
      <c r="B85" s="597"/>
      <c r="C85" s="598"/>
      <c r="D85" s="598"/>
      <c r="E85" s="598"/>
      <c r="F85" s="598"/>
      <c r="G85" s="598"/>
      <c r="H85" s="599"/>
      <c r="I85" s="211"/>
    </row>
    <row r="86" spans="2:10" x14ac:dyDescent="0.2">
      <c r="B86" s="597"/>
      <c r="C86" s="598"/>
      <c r="D86" s="598"/>
      <c r="E86" s="598"/>
      <c r="F86" s="598"/>
      <c r="G86" s="598"/>
      <c r="H86" s="599"/>
      <c r="I86" s="211"/>
    </row>
    <row r="87" spans="2:10" x14ac:dyDescent="0.2">
      <c r="B87" s="597"/>
      <c r="C87" s="598"/>
      <c r="D87" s="598"/>
      <c r="E87" s="598"/>
      <c r="F87" s="598"/>
      <c r="G87" s="598"/>
      <c r="H87" s="599"/>
      <c r="I87" s="211"/>
    </row>
    <row r="88" spans="2:10" x14ac:dyDescent="0.2">
      <c r="B88" s="597"/>
      <c r="C88" s="598"/>
      <c r="D88" s="598"/>
      <c r="E88" s="598"/>
      <c r="F88" s="598"/>
      <c r="G88" s="598"/>
      <c r="H88" s="599"/>
      <c r="I88" s="211"/>
    </row>
    <row r="89" spans="2:10" x14ac:dyDescent="0.2">
      <c r="B89" s="600"/>
      <c r="C89" s="601"/>
      <c r="D89" s="601"/>
      <c r="E89" s="601"/>
      <c r="F89" s="601"/>
      <c r="G89" s="601"/>
      <c r="H89" s="602"/>
      <c r="I89" s="211"/>
    </row>
    <row r="92" spans="2:10" x14ac:dyDescent="0.2">
      <c r="B92" s="594" t="s">
        <v>285</v>
      </c>
      <c r="C92" s="595"/>
      <c r="D92" s="595"/>
      <c r="E92" s="595"/>
      <c r="F92" s="595"/>
      <c r="G92" s="595"/>
      <c r="H92" s="596"/>
      <c r="I92" s="211"/>
      <c r="J92" s="209"/>
    </row>
    <row r="93" spans="2:10" x14ac:dyDescent="0.2">
      <c r="B93" s="597"/>
      <c r="C93" s="598"/>
      <c r="D93" s="598"/>
      <c r="E93" s="598"/>
      <c r="F93" s="598"/>
      <c r="G93" s="598"/>
      <c r="H93" s="599"/>
      <c r="I93" s="211"/>
      <c r="J93" s="207"/>
    </row>
    <row r="94" spans="2:10" x14ac:dyDescent="0.2">
      <c r="B94" s="597"/>
      <c r="C94" s="598"/>
      <c r="D94" s="598"/>
      <c r="E94" s="598"/>
      <c r="F94" s="598"/>
      <c r="G94" s="598"/>
      <c r="H94" s="599"/>
      <c r="I94" s="211"/>
      <c r="J94" s="207"/>
    </row>
    <row r="95" spans="2:10" x14ac:dyDescent="0.2">
      <c r="B95" s="597"/>
      <c r="C95" s="598"/>
      <c r="D95" s="598"/>
      <c r="E95" s="598"/>
      <c r="F95" s="598"/>
      <c r="G95" s="598"/>
      <c r="H95" s="599"/>
      <c r="I95" s="211"/>
      <c r="J95" s="207"/>
    </row>
    <row r="96" spans="2:10" x14ac:dyDescent="0.2">
      <c r="B96" s="597"/>
      <c r="C96" s="598"/>
      <c r="D96" s="598"/>
      <c r="E96" s="598"/>
      <c r="F96" s="598"/>
      <c r="G96" s="598"/>
      <c r="H96" s="599"/>
      <c r="I96" s="211"/>
    </row>
    <row r="97" spans="2:9" x14ac:dyDescent="0.2">
      <c r="B97" s="597"/>
      <c r="C97" s="598"/>
      <c r="D97" s="598"/>
      <c r="E97" s="598"/>
      <c r="F97" s="598"/>
      <c r="G97" s="598"/>
      <c r="H97" s="599"/>
      <c r="I97" s="211"/>
    </row>
    <row r="98" spans="2:9" x14ac:dyDescent="0.2">
      <c r="B98" s="597"/>
      <c r="C98" s="598"/>
      <c r="D98" s="598"/>
      <c r="E98" s="598"/>
      <c r="F98" s="598"/>
      <c r="G98" s="598"/>
      <c r="H98" s="599"/>
      <c r="I98" s="211"/>
    </row>
    <row r="99" spans="2:9" x14ac:dyDescent="0.2">
      <c r="B99" s="597"/>
      <c r="C99" s="598"/>
      <c r="D99" s="598"/>
      <c r="E99" s="598"/>
      <c r="F99" s="598"/>
      <c r="G99" s="598"/>
      <c r="H99" s="599"/>
      <c r="I99" s="211"/>
    </row>
    <row r="100" spans="2:9" x14ac:dyDescent="0.2">
      <c r="B100" s="597"/>
      <c r="C100" s="598"/>
      <c r="D100" s="598"/>
      <c r="E100" s="598"/>
      <c r="F100" s="598"/>
      <c r="G100" s="598"/>
      <c r="H100" s="599"/>
      <c r="I100" s="211"/>
    </row>
    <row r="101" spans="2:9" x14ac:dyDescent="0.2">
      <c r="B101" s="597"/>
      <c r="C101" s="598"/>
      <c r="D101" s="598"/>
      <c r="E101" s="598"/>
      <c r="F101" s="598"/>
      <c r="G101" s="598"/>
      <c r="H101" s="599"/>
      <c r="I101" s="211"/>
    </row>
    <row r="102" spans="2:9" x14ac:dyDescent="0.2">
      <c r="B102" s="597"/>
      <c r="C102" s="598"/>
      <c r="D102" s="598"/>
      <c r="E102" s="598"/>
      <c r="F102" s="598"/>
      <c r="G102" s="598"/>
      <c r="H102" s="599"/>
      <c r="I102" s="211"/>
    </row>
    <row r="103" spans="2:9" x14ac:dyDescent="0.2">
      <c r="B103" s="597"/>
      <c r="C103" s="598"/>
      <c r="D103" s="598"/>
      <c r="E103" s="598"/>
      <c r="F103" s="598"/>
      <c r="G103" s="598"/>
      <c r="H103" s="599"/>
      <c r="I103" s="211"/>
    </row>
    <row r="104" spans="2:9" x14ac:dyDescent="0.2">
      <c r="B104" s="597"/>
      <c r="C104" s="598"/>
      <c r="D104" s="598"/>
      <c r="E104" s="598"/>
      <c r="F104" s="598"/>
      <c r="G104" s="598"/>
      <c r="H104" s="599"/>
      <c r="I104" s="211"/>
    </row>
    <row r="105" spans="2:9" x14ac:dyDescent="0.2">
      <c r="B105" s="597"/>
      <c r="C105" s="598"/>
      <c r="D105" s="598"/>
      <c r="E105" s="598"/>
      <c r="F105" s="598"/>
      <c r="G105" s="598"/>
      <c r="H105" s="599"/>
      <c r="I105" s="211"/>
    </row>
    <row r="106" spans="2:9" x14ac:dyDescent="0.2">
      <c r="B106" s="597"/>
      <c r="C106" s="598"/>
      <c r="D106" s="598"/>
      <c r="E106" s="598"/>
      <c r="F106" s="598"/>
      <c r="G106" s="598"/>
      <c r="H106" s="599"/>
      <c r="I106" s="211"/>
    </row>
    <row r="107" spans="2:9" x14ac:dyDescent="0.2">
      <c r="B107" s="597"/>
      <c r="C107" s="598"/>
      <c r="D107" s="598"/>
      <c r="E107" s="598"/>
      <c r="F107" s="598"/>
      <c r="G107" s="598"/>
      <c r="H107" s="599"/>
      <c r="I107" s="211"/>
    </row>
    <row r="108" spans="2:9" x14ac:dyDescent="0.2">
      <c r="B108" s="597"/>
      <c r="C108" s="598"/>
      <c r="D108" s="598"/>
      <c r="E108" s="598"/>
      <c r="F108" s="598"/>
      <c r="G108" s="598"/>
      <c r="H108" s="599"/>
      <c r="I108" s="211"/>
    </row>
    <row r="109" spans="2:9" x14ac:dyDescent="0.2">
      <c r="B109" s="597"/>
      <c r="C109" s="598"/>
      <c r="D109" s="598"/>
      <c r="E109" s="598"/>
      <c r="F109" s="598"/>
      <c r="G109" s="598"/>
      <c r="H109" s="599"/>
      <c r="I109" s="211"/>
    </row>
    <row r="110" spans="2:9" x14ac:dyDescent="0.2">
      <c r="B110" s="600"/>
      <c r="C110" s="601"/>
      <c r="D110" s="601"/>
      <c r="E110" s="601"/>
      <c r="F110" s="601"/>
      <c r="G110" s="601"/>
      <c r="H110" s="602"/>
      <c r="I110" s="211"/>
    </row>
    <row r="113" spans="2:10" x14ac:dyDescent="0.2">
      <c r="B113" s="594" t="s">
        <v>285</v>
      </c>
      <c r="C113" s="595"/>
      <c r="D113" s="595"/>
      <c r="E113" s="595"/>
      <c r="F113" s="595"/>
      <c r="G113" s="595"/>
      <c r="H113" s="596"/>
      <c r="I113" s="211"/>
      <c r="J113" s="209"/>
    </row>
    <row r="114" spans="2:10" x14ac:dyDescent="0.2">
      <c r="B114" s="597"/>
      <c r="C114" s="598"/>
      <c r="D114" s="598"/>
      <c r="E114" s="598"/>
      <c r="F114" s="598"/>
      <c r="G114" s="598"/>
      <c r="H114" s="599"/>
      <c r="I114" s="211"/>
      <c r="J114" s="207"/>
    </row>
    <row r="115" spans="2:10" x14ac:dyDescent="0.2">
      <c r="B115" s="597"/>
      <c r="C115" s="598"/>
      <c r="D115" s="598"/>
      <c r="E115" s="598"/>
      <c r="F115" s="598"/>
      <c r="G115" s="598"/>
      <c r="H115" s="599"/>
      <c r="I115" s="211"/>
      <c r="J115" s="207"/>
    </row>
    <row r="116" spans="2:10" x14ac:dyDescent="0.2">
      <c r="B116" s="597"/>
      <c r="C116" s="598"/>
      <c r="D116" s="598"/>
      <c r="E116" s="598"/>
      <c r="F116" s="598"/>
      <c r="G116" s="598"/>
      <c r="H116" s="599"/>
      <c r="I116" s="211"/>
      <c r="J116" s="207"/>
    </row>
    <row r="117" spans="2:10" x14ac:dyDescent="0.2">
      <c r="B117" s="597"/>
      <c r="C117" s="598"/>
      <c r="D117" s="598"/>
      <c r="E117" s="598"/>
      <c r="F117" s="598"/>
      <c r="G117" s="598"/>
      <c r="H117" s="599"/>
      <c r="I117" s="211"/>
    </row>
    <row r="118" spans="2:10" x14ac:dyDescent="0.2">
      <c r="B118" s="597"/>
      <c r="C118" s="598"/>
      <c r="D118" s="598"/>
      <c r="E118" s="598"/>
      <c r="F118" s="598"/>
      <c r="G118" s="598"/>
      <c r="H118" s="599"/>
      <c r="I118" s="211"/>
    </row>
    <row r="119" spans="2:10" x14ac:dyDescent="0.2">
      <c r="B119" s="597"/>
      <c r="C119" s="598"/>
      <c r="D119" s="598"/>
      <c r="E119" s="598"/>
      <c r="F119" s="598"/>
      <c r="G119" s="598"/>
      <c r="H119" s="599"/>
      <c r="I119" s="211"/>
    </row>
    <row r="120" spans="2:10" x14ac:dyDescent="0.2">
      <c r="B120" s="597"/>
      <c r="C120" s="598"/>
      <c r="D120" s="598"/>
      <c r="E120" s="598"/>
      <c r="F120" s="598"/>
      <c r="G120" s="598"/>
      <c r="H120" s="599"/>
      <c r="I120" s="211"/>
    </row>
    <row r="121" spans="2:10" x14ac:dyDescent="0.2">
      <c r="B121" s="597"/>
      <c r="C121" s="598"/>
      <c r="D121" s="598"/>
      <c r="E121" s="598"/>
      <c r="F121" s="598"/>
      <c r="G121" s="598"/>
      <c r="H121" s="599"/>
      <c r="I121" s="211"/>
    </row>
    <row r="122" spans="2:10" x14ac:dyDescent="0.2">
      <c r="B122" s="597"/>
      <c r="C122" s="598"/>
      <c r="D122" s="598"/>
      <c r="E122" s="598"/>
      <c r="F122" s="598"/>
      <c r="G122" s="598"/>
      <c r="H122" s="599"/>
      <c r="I122" s="211"/>
    </row>
    <row r="123" spans="2:10" x14ac:dyDescent="0.2">
      <c r="B123" s="597"/>
      <c r="C123" s="598"/>
      <c r="D123" s="598"/>
      <c r="E123" s="598"/>
      <c r="F123" s="598"/>
      <c r="G123" s="598"/>
      <c r="H123" s="599"/>
      <c r="I123" s="211"/>
    </row>
    <row r="124" spans="2:10" x14ac:dyDescent="0.2">
      <c r="B124" s="597"/>
      <c r="C124" s="598"/>
      <c r="D124" s="598"/>
      <c r="E124" s="598"/>
      <c r="F124" s="598"/>
      <c r="G124" s="598"/>
      <c r="H124" s="599"/>
      <c r="I124" s="211"/>
    </row>
    <row r="125" spans="2:10" x14ac:dyDescent="0.2">
      <c r="B125" s="597"/>
      <c r="C125" s="598"/>
      <c r="D125" s="598"/>
      <c r="E125" s="598"/>
      <c r="F125" s="598"/>
      <c r="G125" s="598"/>
      <c r="H125" s="599"/>
      <c r="I125" s="211"/>
    </row>
    <row r="126" spans="2:10" x14ac:dyDescent="0.2">
      <c r="B126" s="597"/>
      <c r="C126" s="598"/>
      <c r="D126" s="598"/>
      <c r="E126" s="598"/>
      <c r="F126" s="598"/>
      <c r="G126" s="598"/>
      <c r="H126" s="599"/>
      <c r="I126" s="211"/>
    </row>
    <row r="127" spans="2:10" x14ac:dyDescent="0.2">
      <c r="B127" s="597"/>
      <c r="C127" s="598"/>
      <c r="D127" s="598"/>
      <c r="E127" s="598"/>
      <c r="F127" s="598"/>
      <c r="G127" s="598"/>
      <c r="H127" s="599"/>
      <c r="I127" s="211"/>
    </row>
    <row r="128" spans="2:10" x14ac:dyDescent="0.2">
      <c r="B128" s="597"/>
      <c r="C128" s="598"/>
      <c r="D128" s="598"/>
      <c r="E128" s="598"/>
      <c r="F128" s="598"/>
      <c r="G128" s="598"/>
      <c r="H128" s="599"/>
      <c r="I128" s="211"/>
    </row>
    <row r="129" spans="2:10" x14ac:dyDescent="0.2">
      <c r="B129" s="597"/>
      <c r="C129" s="598"/>
      <c r="D129" s="598"/>
      <c r="E129" s="598"/>
      <c r="F129" s="598"/>
      <c r="G129" s="598"/>
      <c r="H129" s="599"/>
      <c r="I129" s="211"/>
    </row>
    <row r="130" spans="2:10" x14ac:dyDescent="0.2">
      <c r="B130" s="597"/>
      <c r="C130" s="598"/>
      <c r="D130" s="598"/>
      <c r="E130" s="598"/>
      <c r="F130" s="598"/>
      <c r="G130" s="598"/>
      <c r="H130" s="599"/>
      <c r="I130" s="211"/>
    </row>
    <row r="131" spans="2:10" x14ac:dyDescent="0.2">
      <c r="B131" s="600"/>
      <c r="C131" s="601"/>
      <c r="D131" s="601"/>
      <c r="E131" s="601"/>
      <c r="F131" s="601"/>
      <c r="G131" s="601"/>
      <c r="H131" s="602"/>
      <c r="I131" s="211"/>
    </row>
    <row r="133" spans="2:10" x14ac:dyDescent="0.2">
      <c r="B133" s="594" t="s">
        <v>285</v>
      </c>
      <c r="C133" s="595"/>
      <c r="D133" s="595"/>
      <c r="E133" s="595"/>
      <c r="F133" s="595"/>
      <c r="G133" s="595"/>
      <c r="H133" s="596"/>
      <c r="I133" s="211"/>
      <c r="J133" s="209"/>
    </row>
    <row r="134" spans="2:10" x14ac:dyDescent="0.2">
      <c r="B134" s="597"/>
      <c r="C134" s="598"/>
      <c r="D134" s="598"/>
      <c r="E134" s="598"/>
      <c r="F134" s="598"/>
      <c r="G134" s="598"/>
      <c r="H134" s="599"/>
      <c r="I134" s="211"/>
      <c r="J134" s="207"/>
    </row>
    <row r="135" spans="2:10" x14ac:dyDescent="0.2">
      <c r="B135" s="597"/>
      <c r="C135" s="598"/>
      <c r="D135" s="598"/>
      <c r="E135" s="598"/>
      <c r="F135" s="598"/>
      <c r="G135" s="598"/>
      <c r="H135" s="599"/>
      <c r="I135" s="211"/>
      <c r="J135" s="207"/>
    </row>
    <row r="136" spans="2:10" x14ac:dyDescent="0.2">
      <c r="B136" s="597"/>
      <c r="C136" s="598"/>
      <c r="D136" s="598"/>
      <c r="E136" s="598"/>
      <c r="F136" s="598"/>
      <c r="G136" s="598"/>
      <c r="H136" s="599"/>
      <c r="I136" s="211"/>
      <c r="J136" s="207"/>
    </row>
    <row r="137" spans="2:10" x14ac:dyDescent="0.2">
      <c r="B137" s="597"/>
      <c r="C137" s="598"/>
      <c r="D137" s="598"/>
      <c r="E137" s="598"/>
      <c r="F137" s="598"/>
      <c r="G137" s="598"/>
      <c r="H137" s="599"/>
      <c r="I137" s="211"/>
    </row>
    <row r="138" spans="2:10" x14ac:dyDescent="0.2">
      <c r="B138" s="597"/>
      <c r="C138" s="598"/>
      <c r="D138" s="598"/>
      <c r="E138" s="598"/>
      <c r="F138" s="598"/>
      <c r="G138" s="598"/>
      <c r="H138" s="599"/>
      <c r="I138" s="211"/>
    </row>
    <row r="139" spans="2:10" x14ac:dyDescent="0.2">
      <c r="B139" s="597"/>
      <c r="C139" s="598"/>
      <c r="D139" s="598"/>
      <c r="E139" s="598"/>
      <c r="F139" s="598"/>
      <c r="G139" s="598"/>
      <c r="H139" s="599"/>
      <c r="I139" s="211"/>
    </row>
    <row r="140" spans="2:10" x14ac:dyDescent="0.2">
      <c r="B140" s="597"/>
      <c r="C140" s="598"/>
      <c r="D140" s="598"/>
      <c r="E140" s="598"/>
      <c r="F140" s="598"/>
      <c r="G140" s="598"/>
      <c r="H140" s="599"/>
      <c r="I140" s="211"/>
    </row>
    <row r="141" spans="2:10" x14ac:dyDescent="0.2">
      <c r="B141" s="597"/>
      <c r="C141" s="598"/>
      <c r="D141" s="598"/>
      <c r="E141" s="598"/>
      <c r="F141" s="598"/>
      <c r="G141" s="598"/>
      <c r="H141" s="599"/>
      <c r="I141" s="211"/>
    </row>
    <row r="142" spans="2:10" x14ac:dyDescent="0.2">
      <c r="B142" s="597"/>
      <c r="C142" s="598"/>
      <c r="D142" s="598"/>
      <c r="E142" s="598"/>
      <c r="F142" s="598"/>
      <c r="G142" s="598"/>
      <c r="H142" s="599"/>
      <c r="I142" s="211"/>
    </row>
    <row r="143" spans="2:10" x14ac:dyDescent="0.2">
      <c r="B143" s="597"/>
      <c r="C143" s="598"/>
      <c r="D143" s="598"/>
      <c r="E143" s="598"/>
      <c r="F143" s="598"/>
      <c r="G143" s="598"/>
      <c r="H143" s="599"/>
      <c r="I143" s="211"/>
    </row>
    <row r="144" spans="2:10" x14ac:dyDescent="0.2">
      <c r="B144" s="597"/>
      <c r="C144" s="598"/>
      <c r="D144" s="598"/>
      <c r="E144" s="598"/>
      <c r="F144" s="598"/>
      <c r="G144" s="598"/>
      <c r="H144" s="599"/>
      <c r="I144" s="211"/>
    </row>
    <row r="145" spans="2:10" x14ac:dyDescent="0.2">
      <c r="B145" s="597"/>
      <c r="C145" s="598"/>
      <c r="D145" s="598"/>
      <c r="E145" s="598"/>
      <c r="F145" s="598"/>
      <c r="G145" s="598"/>
      <c r="H145" s="599"/>
      <c r="I145" s="211"/>
    </row>
    <row r="146" spans="2:10" x14ac:dyDescent="0.2">
      <c r="B146" s="597"/>
      <c r="C146" s="598"/>
      <c r="D146" s="598"/>
      <c r="E146" s="598"/>
      <c r="F146" s="598"/>
      <c r="G146" s="598"/>
      <c r="H146" s="599"/>
      <c r="I146" s="211"/>
    </row>
    <row r="147" spans="2:10" x14ac:dyDescent="0.2">
      <c r="B147" s="597"/>
      <c r="C147" s="598"/>
      <c r="D147" s="598"/>
      <c r="E147" s="598"/>
      <c r="F147" s="598"/>
      <c r="G147" s="598"/>
      <c r="H147" s="599"/>
      <c r="I147" s="211"/>
    </row>
    <row r="148" spans="2:10" x14ac:dyDescent="0.2">
      <c r="B148" s="597"/>
      <c r="C148" s="598"/>
      <c r="D148" s="598"/>
      <c r="E148" s="598"/>
      <c r="F148" s="598"/>
      <c r="G148" s="598"/>
      <c r="H148" s="599"/>
      <c r="I148" s="211"/>
    </row>
    <row r="149" spans="2:10" x14ac:dyDescent="0.2">
      <c r="B149" s="597"/>
      <c r="C149" s="598"/>
      <c r="D149" s="598"/>
      <c r="E149" s="598"/>
      <c r="F149" s="598"/>
      <c r="G149" s="598"/>
      <c r="H149" s="599"/>
      <c r="I149" s="211"/>
    </row>
    <row r="150" spans="2:10" x14ac:dyDescent="0.2">
      <c r="B150" s="597"/>
      <c r="C150" s="598"/>
      <c r="D150" s="598"/>
      <c r="E150" s="598"/>
      <c r="F150" s="598"/>
      <c r="G150" s="598"/>
      <c r="H150" s="599"/>
      <c r="I150" s="211"/>
    </row>
    <row r="151" spans="2:10" x14ac:dyDescent="0.2">
      <c r="B151" s="600"/>
      <c r="C151" s="601"/>
      <c r="D151" s="601"/>
      <c r="E151" s="601"/>
      <c r="F151" s="601"/>
      <c r="G151" s="601"/>
      <c r="H151" s="602"/>
      <c r="I151" s="211"/>
    </row>
    <row r="154" spans="2:10" x14ac:dyDescent="0.2">
      <c r="B154" s="594" t="s">
        <v>285</v>
      </c>
      <c r="C154" s="595"/>
      <c r="D154" s="595"/>
      <c r="E154" s="595"/>
      <c r="F154" s="595"/>
      <c r="G154" s="595"/>
      <c r="H154" s="596"/>
      <c r="I154" s="211"/>
      <c r="J154" s="209"/>
    </row>
    <row r="155" spans="2:10" x14ac:dyDescent="0.2">
      <c r="B155" s="597"/>
      <c r="C155" s="598"/>
      <c r="D155" s="598"/>
      <c r="E155" s="598"/>
      <c r="F155" s="598"/>
      <c r="G155" s="598"/>
      <c r="H155" s="599"/>
      <c r="I155" s="211"/>
      <c r="J155" s="207"/>
    </row>
    <row r="156" spans="2:10" x14ac:dyDescent="0.2">
      <c r="B156" s="597"/>
      <c r="C156" s="598"/>
      <c r="D156" s="598"/>
      <c r="E156" s="598"/>
      <c r="F156" s="598"/>
      <c r="G156" s="598"/>
      <c r="H156" s="599"/>
      <c r="I156" s="211"/>
      <c r="J156" s="207"/>
    </row>
    <row r="157" spans="2:10" x14ac:dyDescent="0.2">
      <c r="B157" s="597"/>
      <c r="C157" s="598"/>
      <c r="D157" s="598"/>
      <c r="E157" s="598"/>
      <c r="F157" s="598"/>
      <c r="G157" s="598"/>
      <c r="H157" s="599"/>
      <c r="I157" s="211"/>
      <c r="J157" s="207"/>
    </row>
    <row r="158" spans="2:10" x14ac:dyDescent="0.2">
      <c r="B158" s="597"/>
      <c r="C158" s="598"/>
      <c r="D158" s="598"/>
      <c r="E158" s="598"/>
      <c r="F158" s="598"/>
      <c r="G158" s="598"/>
      <c r="H158" s="599"/>
      <c r="I158" s="211"/>
    </row>
    <row r="159" spans="2:10" x14ac:dyDescent="0.2">
      <c r="B159" s="597"/>
      <c r="C159" s="598"/>
      <c r="D159" s="598"/>
      <c r="E159" s="598"/>
      <c r="F159" s="598"/>
      <c r="G159" s="598"/>
      <c r="H159" s="599"/>
      <c r="I159" s="211"/>
    </row>
    <row r="160" spans="2:10" x14ac:dyDescent="0.2">
      <c r="B160" s="597"/>
      <c r="C160" s="598"/>
      <c r="D160" s="598"/>
      <c r="E160" s="598"/>
      <c r="F160" s="598"/>
      <c r="G160" s="598"/>
      <c r="H160" s="599"/>
      <c r="I160" s="211"/>
    </row>
    <row r="161" spans="2:10" x14ac:dyDescent="0.2">
      <c r="B161" s="597"/>
      <c r="C161" s="598"/>
      <c r="D161" s="598"/>
      <c r="E161" s="598"/>
      <c r="F161" s="598"/>
      <c r="G161" s="598"/>
      <c r="H161" s="599"/>
      <c r="I161" s="211"/>
    </row>
    <row r="162" spans="2:10" x14ac:dyDescent="0.2">
      <c r="B162" s="597"/>
      <c r="C162" s="598"/>
      <c r="D162" s="598"/>
      <c r="E162" s="598"/>
      <c r="F162" s="598"/>
      <c r="G162" s="598"/>
      <c r="H162" s="599"/>
      <c r="I162" s="211"/>
    </row>
    <row r="163" spans="2:10" x14ac:dyDescent="0.2">
      <c r="B163" s="597"/>
      <c r="C163" s="598"/>
      <c r="D163" s="598"/>
      <c r="E163" s="598"/>
      <c r="F163" s="598"/>
      <c r="G163" s="598"/>
      <c r="H163" s="599"/>
      <c r="I163" s="211"/>
    </row>
    <row r="164" spans="2:10" x14ac:dyDescent="0.2">
      <c r="B164" s="597"/>
      <c r="C164" s="598"/>
      <c r="D164" s="598"/>
      <c r="E164" s="598"/>
      <c r="F164" s="598"/>
      <c r="G164" s="598"/>
      <c r="H164" s="599"/>
      <c r="I164" s="211"/>
    </row>
    <row r="165" spans="2:10" x14ac:dyDescent="0.2">
      <c r="B165" s="597"/>
      <c r="C165" s="598"/>
      <c r="D165" s="598"/>
      <c r="E165" s="598"/>
      <c r="F165" s="598"/>
      <c r="G165" s="598"/>
      <c r="H165" s="599"/>
      <c r="I165" s="211"/>
    </row>
    <row r="166" spans="2:10" x14ac:dyDescent="0.2">
      <c r="B166" s="597"/>
      <c r="C166" s="598"/>
      <c r="D166" s="598"/>
      <c r="E166" s="598"/>
      <c r="F166" s="598"/>
      <c r="G166" s="598"/>
      <c r="H166" s="599"/>
      <c r="I166" s="211"/>
    </row>
    <row r="167" spans="2:10" x14ac:dyDescent="0.2">
      <c r="B167" s="597"/>
      <c r="C167" s="598"/>
      <c r="D167" s="598"/>
      <c r="E167" s="598"/>
      <c r="F167" s="598"/>
      <c r="G167" s="598"/>
      <c r="H167" s="599"/>
      <c r="I167" s="211"/>
    </row>
    <row r="168" spans="2:10" x14ac:dyDescent="0.2">
      <c r="B168" s="597"/>
      <c r="C168" s="598"/>
      <c r="D168" s="598"/>
      <c r="E168" s="598"/>
      <c r="F168" s="598"/>
      <c r="G168" s="598"/>
      <c r="H168" s="599"/>
      <c r="I168" s="211"/>
    </row>
    <row r="169" spans="2:10" x14ac:dyDescent="0.2">
      <c r="B169" s="597"/>
      <c r="C169" s="598"/>
      <c r="D169" s="598"/>
      <c r="E169" s="598"/>
      <c r="F169" s="598"/>
      <c r="G169" s="598"/>
      <c r="H169" s="599"/>
      <c r="I169" s="211"/>
    </row>
    <row r="170" spans="2:10" x14ac:dyDescent="0.2">
      <c r="B170" s="597"/>
      <c r="C170" s="598"/>
      <c r="D170" s="598"/>
      <c r="E170" s="598"/>
      <c r="F170" s="598"/>
      <c r="G170" s="598"/>
      <c r="H170" s="599"/>
      <c r="I170" s="211"/>
    </row>
    <row r="171" spans="2:10" x14ac:dyDescent="0.2">
      <c r="B171" s="597"/>
      <c r="C171" s="598"/>
      <c r="D171" s="598"/>
      <c r="E171" s="598"/>
      <c r="F171" s="598"/>
      <c r="G171" s="598"/>
      <c r="H171" s="599"/>
      <c r="I171" s="211"/>
    </row>
    <row r="172" spans="2:10" x14ac:dyDescent="0.2">
      <c r="B172" s="600"/>
      <c r="C172" s="601"/>
      <c r="D172" s="601"/>
      <c r="E172" s="601"/>
      <c r="F172" s="601"/>
      <c r="G172" s="601"/>
      <c r="H172" s="602"/>
      <c r="I172" s="211"/>
    </row>
    <row r="175" spans="2:10" x14ac:dyDescent="0.2">
      <c r="B175" s="594" t="s">
        <v>285</v>
      </c>
      <c r="C175" s="595"/>
      <c r="D175" s="595"/>
      <c r="E175" s="595"/>
      <c r="F175" s="595"/>
      <c r="G175" s="595"/>
      <c r="H175" s="596"/>
      <c r="I175" s="211"/>
      <c r="J175" s="209"/>
    </row>
    <row r="176" spans="2:10" x14ac:dyDescent="0.2">
      <c r="B176" s="597"/>
      <c r="C176" s="598"/>
      <c r="D176" s="598"/>
      <c r="E176" s="598"/>
      <c r="F176" s="598"/>
      <c r="G176" s="598"/>
      <c r="H176" s="599"/>
      <c r="I176" s="211"/>
      <c r="J176" s="207"/>
    </row>
    <row r="177" spans="2:10" x14ac:dyDescent="0.2">
      <c r="B177" s="597"/>
      <c r="C177" s="598"/>
      <c r="D177" s="598"/>
      <c r="E177" s="598"/>
      <c r="F177" s="598"/>
      <c r="G177" s="598"/>
      <c r="H177" s="599"/>
      <c r="I177" s="211"/>
      <c r="J177" s="207"/>
    </row>
    <row r="178" spans="2:10" x14ac:dyDescent="0.2">
      <c r="B178" s="597"/>
      <c r="C178" s="598"/>
      <c r="D178" s="598"/>
      <c r="E178" s="598"/>
      <c r="F178" s="598"/>
      <c r="G178" s="598"/>
      <c r="H178" s="599"/>
      <c r="I178" s="211"/>
      <c r="J178" s="207"/>
    </row>
    <row r="179" spans="2:10" x14ac:dyDescent="0.2">
      <c r="B179" s="597"/>
      <c r="C179" s="598"/>
      <c r="D179" s="598"/>
      <c r="E179" s="598"/>
      <c r="F179" s="598"/>
      <c r="G179" s="598"/>
      <c r="H179" s="599"/>
      <c r="I179" s="211"/>
    </row>
    <row r="180" spans="2:10" x14ac:dyDescent="0.2">
      <c r="B180" s="597"/>
      <c r="C180" s="598"/>
      <c r="D180" s="598"/>
      <c r="E180" s="598"/>
      <c r="F180" s="598"/>
      <c r="G180" s="598"/>
      <c r="H180" s="599"/>
      <c r="I180" s="211"/>
    </row>
    <row r="181" spans="2:10" x14ac:dyDescent="0.2">
      <c r="B181" s="597"/>
      <c r="C181" s="598"/>
      <c r="D181" s="598"/>
      <c r="E181" s="598"/>
      <c r="F181" s="598"/>
      <c r="G181" s="598"/>
      <c r="H181" s="599"/>
      <c r="I181" s="211"/>
    </row>
    <row r="182" spans="2:10" x14ac:dyDescent="0.2">
      <c r="B182" s="597"/>
      <c r="C182" s="598"/>
      <c r="D182" s="598"/>
      <c r="E182" s="598"/>
      <c r="F182" s="598"/>
      <c r="G182" s="598"/>
      <c r="H182" s="599"/>
      <c r="I182" s="211"/>
    </row>
    <row r="183" spans="2:10" x14ac:dyDescent="0.2">
      <c r="B183" s="597"/>
      <c r="C183" s="598"/>
      <c r="D183" s="598"/>
      <c r="E183" s="598"/>
      <c r="F183" s="598"/>
      <c r="G183" s="598"/>
      <c r="H183" s="599"/>
      <c r="I183" s="211"/>
    </row>
    <row r="184" spans="2:10" x14ac:dyDescent="0.2">
      <c r="B184" s="597"/>
      <c r="C184" s="598"/>
      <c r="D184" s="598"/>
      <c r="E184" s="598"/>
      <c r="F184" s="598"/>
      <c r="G184" s="598"/>
      <c r="H184" s="599"/>
      <c r="I184" s="211"/>
    </row>
    <row r="185" spans="2:10" x14ac:dyDescent="0.2">
      <c r="B185" s="597"/>
      <c r="C185" s="598"/>
      <c r="D185" s="598"/>
      <c r="E185" s="598"/>
      <c r="F185" s="598"/>
      <c r="G185" s="598"/>
      <c r="H185" s="599"/>
      <c r="I185" s="211"/>
    </row>
    <row r="186" spans="2:10" x14ac:dyDescent="0.2">
      <c r="B186" s="597"/>
      <c r="C186" s="598"/>
      <c r="D186" s="598"/>
      <c r="E186" s="598"/>
      <c r="F186" s="598"/>
      <c r="G186" s="598"/>
      <c r="H186" s="599"/>
      <c r="I186" s="211"/>
    </row>
    <row r="187" spans="2:10" x14ac:dyDescent="0.2">
      <c r="B187" s="597"/>
      <c r="C187" s="598"/>
      <c r="D187" s="598"/>
      <c r="E187" s="598"/>
      <c r="F187" s="598"/>
      <c r="G187" s="598"/>
      <c r="H187" s="599"/>
      <c r="I187" s="211"/>
    </row>
    <row r="188" spans="2:10" x14ac:dyDescent="0.2">
      <c r="B188" s="597"/>
      <c r="C188" s="598"/>
      <c r="D188" s="598"/>
      <c r="E188" s="598"/>
      <c r="F188" s="598"/>
      <c r="G188" s="598"/>
      <c r="H188" s="599"/>
      <c r="I188" s="211"/>
    </row>
    <row r="189" spans="2:10" x14ac:dyDescent="0.2">
      <c r="B189" s="597"/>
      <c r="C189" s="598"/>
      <c r="D189" s="598"/>
      <c r="E189" s="598"/>
      <c r="F189" s="598"/>
      <c r="G189" s="598"/>
      <c r="H189" s="599"/>
      <c r="I189" s="211"/>
    </row>
    <row r="190" spans="2:10" x14ac:dyDescent="0.2">
      <c r="B190" s="597"/>
      <c r="C190" s="598"/>
      <c r="D190" s="598"/>
      <c r="E190" s="598"/>
      <c r="F190" s="598"/>
      <c r="G190" s="598"/>
      <c r="H190" s="599"/>
      <c r="I190" s="211"/>
    </row>
    <row r="191" spans="2:10" x14ac:dyDescent="0.2">
      <c r="B191" s="597"/>
      <c r="C191" s="598"/>
      <c r="D191" s="598"/>
      <c r="E191" s="598"/>
      <c r="F191" s="598"/>
      <c r="G191" s="598"/>
      <c r="H191" s="599"/>
      <c r="I191" s="211"/>
    </row>
    <row r="192" spans="2:10" x14ac:dyDescent="0.2">
      <c r="B192" s="597"/>
      <c r="C192" s="598"/>
      <c r="D192" s="598"/>
      <c r="E192" s="598"/>
      <c r="F192" s="598"/>
      <c r="G192" s="598"/>
      <c r="H192" s="599"/>
      <c r="I192" s="211"/>
    </row>
    <row r="193" spans="2:10" x14ac:dyDescent="0.2">
      <c r="B193" s="600"/>
      <c r="C193" s="601"/>
      <c r="D193" s="601"/>
      <c r="E193" s="601"/>
      <c r="F193" s="601"/>
      <c r="G193" s="601"/>
      <c r="H193" s="602"/>
      <c r="I193" s="211"/>
    </row>
    <row r="195" spans="2:10" x14ac:dyDescent="0.2">
      <c r="B195" s="594" t="s">
        <v>285</v>
      </c>
      <c r="C195" s="595"/>
      <c r="D195" s="595"/>
      <c r="E195" s="595"/>
      <c r="F195" s="595"/>
      <c r="G195" s="595"/>
      <c r="H195" s="596"/>
      <c r="I195" s="211"/>
      <c r="J195" s="209"/>
    </row>
    <row r="196" spans="2:10" x14ac:dyDescent="0.2">
      <c r="B196" s="597"/>
      <c r="C196" s="598"/>
      <c r="D196" s="598"/>
      <c r="E196" s="598"/>
      <c r="F196" s="598"/>
      <c r="G196" s="598"/>
      <c r="H196" s="599"/>
      <c r="I196" s="211"/>
      <c r="J196" s="207"/>
    </row>
    <row r="197" spans="2:10" x14ac:dyDescent="0.2">
      <c r="B197" s="597"/>
      <c r="C197" s="598"/>
      <c r="D197" s="598"/>
      <c r="E197" s="598"/>
      <c r="F197" s="598"/>
      <c r="G197" s="598"/>
      <c r="H197" s="599"/>
      <c r="I197" s="211"/>
      <c r="J197" s="207"/>
    </row>
    <row r="198" spans="2:10" x14ac:dyDescent="0.2">
      <c r="B198" s="597"/>
      <c r="C198" s="598"/>
      <c r="D198" s="598"/>
      <c r="E198" s="598"/>
      <c r="F198" s="598"/>
      <c r="G198" s="598"/>
      <c r="H198" s="599"/>
      <c r="I198" s="211"/>
      <c r="J198" s="207"/>
    </row>
    <row r="199" spans="2:10" x14ac:dyDescent="0.2">
      <c r="B199" s="597"/>
      <c r="C199" s="598"/>
      <c r="D199" s="598"/>
      <c r="E199" s="598"/>
      <c r="F199" s="598"/>
      <c r="G199" s="598"/>
      <c r="H199" s="599"/>
      <c r="I199" s="211"/>
    </row>
    <row r="200" spans="2:10" x14ac:dyDescent="0.2">
      <c r="B200" s="597"/>
      <c r="C200" s="598"/>
      <c r="D200" s="598"/>
      <c r="E200" s="598"/>
      <c r="F200" s="598"/>
      <c r="G200" s="598"/>
      <c r="H200" s="599"/>
      <c r="I200" s="211"/>
    </row>
    <row r="201" spans="2:10" x14ac:dyDescent="0.2">
      <c r="B201" s="597"/>
      <c r="C201" s="598"/>
      <c r="D201" s="598"/>
      <c r="E201" s="598"/>
      <c r="F201" s="598"/>
      <c r="G201" s="598"/>
      <c r="H201" s="599"/>
      <c r="I201" s="211"/>
    </row>
    <row r="202" spans="2:10" x14ac:dyDescent="0.2">
      <c r="B202" s="597"/>
      <c r="C202" s="598"/>
      <c r="D202" s="598"/>
      <c r="E202" s="598"/>
      <c r="F202" s="598"/>
      <c r="G202" s="598"/>
      <c r="H202" s="599"/>
      <c r="I202" s="211"/>
    </row>
    <row r="203" spans="2:10" x14ac:dyDescent="0.2">
      <c r="B203" s="597"/>
      <c r="C203" s="598"/>
      <c r="D203" s="598"/>
      <c r="E203" s="598"/>
      <c r="F203" s="598"/>
      <c r="G203" s="598"/>
      <c r="H203" s="599"/>
      <c r="I203" s="211"/>
    </row>
    <row r="204" spans="2:10" x14ac:dyDescent="0.2">
      <c r="B204" s="597"/>
      <c r="C204" s="598"/>
      <c r="D204" s="598"/>
      <c r="E204" s="598"/>
      <c r="F204" s="598"/>
      <c r="G204" s="598"/>
      <c r="H204" s="599"/>
      <c r="I204" s="211"/>
    </row>
    <row r="205" spans="2:10" x14ac:dyDescent="0.2">
      <c r="B205" s="597"/>
      <c r="C205" s="598"/>
      <c r="D205" s="598"/>
      <c r="E205" s="598"/>
      <c r="F205" s="598"/>
      <c r="G205" s="598"/>
      <c r="H205" s="599"/>
      <c r="I205" s="211"/>
    </row>
    <row r="206" spans="2:10" x14ac:dyDescent="0.2">
      <c r="B206" s="597"/>
      <c r="C206" s="598"/>
      <c r="D206" s="598"/>
      <c r="E206" s="598"/>
      <c r="F206" s="598"/>
      <c r="G206" s="598"/>
      <c r="H206" s="599"/>
      <c r="I206" s="211"/>
    </row>
    <row r="207" spans="2:10" x14ac:dyDescent="0.2">
      <c r="B207" s="597"/>
      <c r="C207" s="598"/>
      <c r="D207" s="598"/>
      <c r="E207" s="598"/>
      <c r="F207" s="598"/>
      <c r="G207" s="598"/>
      <c r="H207" s="599"/>
      <c r="I207" s="211"/>
    </row>
    <row r="208" spans="2:10" x14ac:dyDescent="0.2">
      <c r="B208" s="597"/>
      <c r="C208" s="598"/>
      <c r="D208" s="598"/>
      <c r="E208" s="598"/>
      <c r="F208" s="598"/>
      <c r="G208" s="598"/>
      <c r="H208" s="599"/>
      <c r="I208" s="211"/>
    </row>
    <row r="209" spans="2:10" x14ac:dyDescent="0.2">
      <c r="B209" s="597"/>
      <c r="C209" s="598"/>
      <c r="D209" s="598"/>
      <c r="E209" s="598"/>
      <c r="F209" s="598"/>
      <c r="G209" s="598"/>
      <c r="H209" s="599"/>
      <c r="I209" s="211"/>
    </row>
    <row r="210" spans="2:10" x14ac:dyDescent="0.2">
      <c r="B210" s="597"/>
      <c r="C210" s="598"/>
      <c r="D210" s="598"/>
      <c r="E210" s="598"/>
      <c r="F210" s="598"/>
      <c r="G210" s="598"/>
      <c r="H210" s="599"/>
      <c r="I210" s="211"/>
    </row>
    <row r="211" spans="2:10" x14ac:dyDescent="0.2">
      <c r="B211" s="597"/>
      <c r="C211" s="598"/>
      <c r="D211" s="598"/>
      <c r="E211" s="598"/>
      <c r="F211" s="598"/>
      <c r="G211" s="598"/>
      <c r="H211" s="599"/>
      <c r="I211" s="211"/>
    </row>
    <row r="212" spans="2:10" x14ac:dyDescent="0.2">
      <c r="B212" s="597"/>
      <c r="C212" s="598"/>
      <c r="D212" s="598"/>
      <c r="E212" s="598"/>
      <c r="F212" s="598"/>
      <c r="G212" s="598"/>
      <c r="H212" s="599"/>
      <c r="I212" s="211"/>
    </row>
    <row r="213" spans="2:10" x14ac:dyDescent="0.2">
      <c r="B213" s="600"/>
      <c r="C213" s="601"/>
      <c r="D213" s="601"/>
      <c r="E213" s="601"/>
      <c r="F213" s="601"/>
      <c r="G213" s="601"/>
      <c r="H213" s="602"/>
      <c r="I213" s="211"/>
    </row>
    <row r="216" spans="2:10" x14ac:dyDescent="0.2">
      <c r="B216" s="594" t="s">
        <v>285</v>
      </c>
      <c r="C216" s="595"/>
      <c r="D216" s="595"/>
      <c r="E216" s="595"/>
      <c r="F216" s="595"/>
      <c r="G216" s="595"/>
      <c r="H216" s="596"/>
      <c r="I216" s="211"/>
      <c r="J216" s="209"/>
    </row>
    <row r="217" spans="2:10" x14ac:dyDescent="0.2">
      <c r="B217" s="597"/>
      <c r="C217" s="598"/>
      <c r="D217" s="598"/>
      <c r="E217" s="598"/>
      <c r="F217" s="598"/>
      <c r="G217" s="598"/>
      <c r="H217" s="599"/>
      <c r="I217" s="211"/>
      <c r="J217" s="207"/>
    </row>
    <row r="218" spans="2:10" x14ac:dyDescent="0.2">
      <c r="B218" s="597"/>
      <c r="C218" s="598"/>
      <c r="D218" s="598"/>
      <c r="E218" s="598"/>
      <c r="F218" s="598"/>
      <c r="G218" s="598"/>
      <c r="H218" s="599"/>
      <c r="I218" s="211"/>
      <c r="J218" s="207"/>
    </row>
    <row r="219" spans="2:10" x14ac:dyDescent="0.2">
      <c r="B219" s="597"/>
      <c r="C219" s="598"/>
      <c r="D219" s="598"/>
      <c r="E219" s="598"/>
      <c r="F219" s="598"/>
      <c r="G219" s="598"/>
      <c r="H219" s="599"/>
      <c r="I219" s="211"/>
      <c r="J219" s="207"/>
    </row>
    <row r="220" spans="2:10" x14ac:dyDescent="0.2">
      <c r="B220" s="597"/>
      <c r="C220" s="598"/>
      <c r="D220" s="598"/>
      <c r="E220" s="598"/>
      <c r="F220" s="598"/>
      <c r="G220" s="598"/>
      <c r="H220" s="599"/>
      <c r="I220" s="211"/>
    </row>
    <row r="221" spans="2:10" x14ac:dyDescent="0.2">
      <c r="B221" s="597"/>
      <c r="C221" s="598"/>
      <c r="D221" s="598"/>
      <c r="E221" s="598"/>
      <c r="F221" s="598"/>
      <c r="G221" s="598"/>
      <c r="H221" s="599"/>
      <c r="I221" s="211"/>
    </row>
    <row r="222" spans="2:10" x14ac:dyDescent="0.2">
      <c r="B222" s="597"/>
      <c r="C222" s="598"/>
      <c r="D222" s="598"/>
      <c r="E222" s="598"/>
      <c r="F222" s="598"/>
      <c r="G222" s="598"/>
      <c r="H222" s="599"/>
      <c r="I222" s="211"/>
    </row>
    <row r="223" spans="2:10" x14ac:dyDescent="0.2">
      <c r="B223" s="597"/>
      <c r="C223" s="598"/>
      <c r="D223" s="598"/>
      <c r="E223" s="598"/>
      <c r="F223" s="598"/>
      <c r="G223" s="598"/>
      <c r="H223" s="599"/>
      <c r="I223" s="211"/>
    </row>
    <row r="224" spans="2:10" x14ac:dyDescent="0.2">
      <c r="B224" s="597"/>
      <c r="C224" s="598"/>
      <c r="D224" s="598"/>
      <c r="E224" s="598"/>
      <c r="F224" s="598"/>
      <c r="G224" s="598"/>
      <c r="H224" s="599"/>
      <c r="I224" s="211"/>
    </row>
    <row r="225" spans="2:10" x14ac:dyDescent="0.2">
      <c r="B225" s="597"/>
      <c r="C225" s="598"/>
      <c r="D225" s="598"/>
      <c r="E225" s="598"/>
      <c r="F225" s="598"/>
      <c r="G225" s="598"/>
      <c r="H225" s="599"/>
      <c r="I225" s="211"/>
    </row>
    <row r="226" spans="2:10" x14ac:dyDescent="0.2">
      <c r="B226" s="597"/>
      <c r="C226" s="598"/>
      <c r="D226" s="598"/>
      <c r="E226" s="598"/>
      <c r="F226" s="598"/>
      <c r="G226" s="598"/>
      <c r="H226" s="599"/>
      <c r="I226" s="211"/>
    </row>
    <row r="227" spans="2:10" x14ac:dyDescent="0.2">
      <c r="B227" s="597"/>
      <c r="C227" s="598"/>
      <c r="D227" s="598"/>
      <c r="E227" s="598"/>
      <c r="F227" s="598"/>
      <c r="G227" s="598"/>
      <c r="H227" s="599"/>
      <c r="I227" s="211"/>
    </row>
    <row r="228" spans="2:10" x14ac:dyDescent="0.2">
      <c r="B228" s="597"/>
      <c r="C228" s="598"/>
      <c r="D228" s="598"/>
      <c r="E228" s="598"/>
      <c r="F228" s="598"/>
      <c r="G228" s="598"/>
      <c r="H228" s="599"/>
      <c r="I228" s="211"/>
    </row>
    <row r="229" spans="2:10" x14ac:dyDescent="0.2">
      <c r="B229" s="597"/>
      <c r="C229" s="598"/>
      <c r="D229" s="598"/>
      <c r="E229" s="598"/>
      <c r="F229" s="598"/>
      <c r="G229" s="598"/>
      <c r="H229" s="599"/>
      <c r="I229" s="211"/>
    </row>
    <row r="230" spans="2:10" x14ac:dyDescent="0.2">
      <c r="B230" s="597"/>
      <c r="C230" s="598"/>
      <c r="D230" s="598"/>
      <c r="E230" s="598"/>
      <c r="F230" s="598"/>
      <c r="G230" s="598"/>
      <c r="H230" s="599"/>
      <c r="I230" s="211"/>
    </row>
    <row r="231" spans="2:10" x14ac:dyDescent="0.2">
      <c r="B231" s="597"/>
      <c r="C231" s="598"/>
      <c r="D231" s="598"/>
      <c r="E231" s="598"/>
      <c r="F231" s="598"/>
      <c r="G231" s="598"/>
      <c r="H231" s="599"/>
      <c r="I231" s="211"/>
    </row>
    <row r="232" spans="2:10" x14ac:dyDescent="0.2">
      <c r="B232" s="597"/>
      <c r="C232" s="598"/>
      <c r="D232" s="598"/>
      <c r="E232" s="598"/>
      <c r="F232" s="598"/>
      <c r="G232" s="598"/>
      <c r="H232" s="599"/>
      <c r="I232" s="211"/>
    </row>
    <row r="233" spans="2:10" x14ac:dyDescent="0.2">
      <c r="B233" s="597"/>
      <c r="C233" s="598"/>
      <c r="D233" s="598"/>
      <c r="E233" s="598"/>
      <c r="F233" s="598"/>
      <c r="G233" s="598"/>
      <c r="H233" s="599"/>
      <c r="I233" s="211"/>
    </row>
    <row r="234" spans="2:10" x14ac:dyDescent="0.2">
      <c r="B234" s="600"/>
      <c r="C234" s="601"/>
      <c r="D234" s="601"/>
      <c r="E234" s="601"/>
      <c r="F234" s="601"/>
      <c r="G234" s="601"/>
      <c r="H234" s="602"/>
      <c r="I234" s="211"/>
    </row>
    <row r="237" spans="2:10" x14ac:dyDescent="0.2">
      <c r="B237" s="594" t="s">
        <v>285</v>
      </c>
      <c r="C237" s="595"/>
      <c r="D237" s="595"/>
      <c r="E237" s="595"/>
      <c r="F237" s="595"/>
      <c r="G237" s="595"/>
      <c r="H237" s="596"/>
      <c r="I237" s="211"/>
      <c r="J237" s="209"/>
    </row>
    <row r="238" spans="2:10" x14ac:dyDescent="0.2">
      <c r="B238" s="597"/>
      <c r="C238" s="598"/>
      <c r="D238" s="598"/>
      <c r="E238" s="598"/>
      <c r="F238" s="598"/>
      <c r="G238" s="598"/>
      <c r="H238" s="599"/>
      <c r="I238" s="211"/>
      <c r="J238" s="207"/>
    </row>
    <row r="239" spans="2:10" x14ac:dyDescent="0.2">
      <c r="B239" s="597"/>
      <c r="C239" s="598"/>
      <c r="D239" s="598"/>
      <c r="E239" s="598"/>
      <c r="F239" s="598"/>
      <c r="G239" s="598"/>
      <c r="H239" s="599"/>
      <c r="I239" s="211"/>
      <c r="J239" s="207"/>
    </row>
    <row r="240" spans="2:10" x14ac:dyDescent="0.2">
      <c r="B240" s="597"/>
      <c r="C240" s="598"/>
      <c r="D240" s="598"/>
      <c r="E240" s="598"/>
      <c r="F240" s="598"/>
      <c r="G240" s="598"/>
      <c r="H240" s="599"/>
      <c r="I240" s="211"/>
      <c r="J240" s="207"/>
    </row>
    <row r="241" spans="2:9" x14ac:dyDescent="0.2">
      <c r="B241" s="597"/>
      <c r="C241" s="598"/>
      <c r="D241" s="598"/>
      <c r="E241" s="598"/>
      <c r="F241" s="598"/>
      <c r="G241" s="598"/>
      <c r="H241" s="599"/>
      <c r="I241" s="211"/>
    </row>
    <row r="242" spans="2:9" x14ac:dyDescent="0.2">
      <c r="B242" s="597"/>
      <c r="C242" s="598"/>
      <c r="D242" s="598"/>
      <c r="E242" s="598"/>
      <c r="F242" s="598"/>
      <c r="G242" s="598"/>
      <c r="H242" s="599"/>
      <c r="I242" s="211"/>
    </row>
    <row r="243" spans="2:9" x14ac:dyDescent="0.2">
      <c r="B243" s="597"/>
      <c r="C243" s="598"/>
      <c r="D243" s="598"/>
      <c r="E243" s="598"/>
      <c r="F243" s="598"/>
      <c r="G243" s="598"/>
      <c r="H243" s="599"/>
      <c r="I243" s="211"/>
    </row>
    <row r="244" spans="2:9" x14ac:dyDescent="0.2">
      <c r="B244" s="597"/>
      <c r="C244" s="598"/>
      <c r="D244" s="598"/>
      <c r="E244" s="598"/>
      <c r="F244" s="598"/>
      <c r="G244" s="598"/>
      <c r="H244" s="599"/>
      <c r="I244" s="211"/>
    </row>
    <row r="245" spans="2:9" x14ac:dyDescent="0.2">
      <c r="B245" s="597"/>
      <c r="C245" s="598"/>
      <c r="D245" s="598"/>
      <c r="E245" s="598"/>
      <c r="F245" s="598"/>
      <c r="G245" s="598"/>
      <c r="H245" s="599"/>
      <c r="I245" s="211"/>
    </row>
    <row r="246" spans="2:9" x14ac:dyDescent="0.2">
      <c r="B246" s="597"/>
      <c r="C246" s="598"/>
      <c r="D246" s="598"/>
      <c r="E246" s="598"/>
      <c r="F246" s="598"/>
      <c r="G246" s="598"/>
      <c r="H246" s="599"/>
      <c r="I246" s="211"/>
    </row>
    <row r="247" spans="2:9" x14ac:dyDescent="0.2">
      <c r="B247" s="597"/>
      <c r="C247" s="598"/>
      <c r="D247" s="598"/>
      <c r="E247" s="598"/>
      <c r="F247" s="598"/>
      <c r="G247" s="598"/>
      <c r="H247" s="599"/>
      <c r="I247" s="211"/>
    </row>
    <row r="248" spans="2:9" x14ac:dyDescent="0.2">
      <c r="B248" s="597"/>
      <c r="C248" s="598"/>
      <c r="D248" s="598"/>
      <c r="E248" s="598"/>
      <c r="F248" s="598"/>
      <c r="G248" s="598"/>
      <c r="H248" s="599"/>
      <c r="I248" s="211"/>
    </row>
    <row r="249" spans="2:9" x14ac:dyDescent="0.2">
      <c r="B249" s="597"/>
      <c r="C249" s="598"/>
      <c r="D249" s="598"/>
      <c r="E249" s="598"/>
      <c r="F249" s="598"/>
      <c r="G249" s="598"/>
      <c r="H249" s="599"/>
      <c r="I249" s="211"/>
    </row>
    <row r="250" spans="2:9" x14ac:dyDescent="0.2">
      <c r="B250" s="597"/>
      <c r="C250" s="598"/>
      <c r="D250" s="598"/>
      <c r="E250" s="598"/>
      <c r="F250" s="598"/>
      <c r="G250" s="598"/>
      <c r="H250" s="599"/>
      <c r="I250" s="211"/>
    </row>
    <row r="251" spans="2:9" x14ac:dyDescent="0.2">
      <c r="B251" s="597"/>
      <c r="C251" s="598"/>
      <c r="D251" s="598"/>
      <c r="E251" s="598"/>
      <c r="F251" s="598"/>
      <c r="G251" s="598"/>
      <c r="H251" s="599"/>
      <c r="I251" s="211"/>
    </row>
    <row r="252" spans="2:9" x14ac:dyDescent="0.2">
      <c r="B252" s="597"/>
      <c r="C252" s="598"/>
      <c r="D252" s="598"/>
      <c r="E252" s="598"/>
      <c r="F252" s="598"/>
      <c r="G252" s="598"/>
      <c r="H252" s="599"/>
      <c r="I252" s="211"/>
    </row>
    <row r="253" spans="2:9" x14ac:dyDescent="0.2">
      <c r="B253" s="597"/>
      <c r="C253" s="598"/>
      <c r="D253" s="598"/>
      <c r="E253" s="598"/>
      <c r="F253" s="598"/>
      <c r="G253" s="598"/>
      <c r="H253" s="599"/>
      <c r="I253" s="211"/>
    </row>
    <row r="254" spans="2:9" x14ac:dyDescent="0.2">
      <c r="B254" s="597"/>
      <c r="C254" s="598"/>
      <c r="D254" s="598"/>
      <c r="E254" s="598"/>
      <c r="F254" s="598"/>
      <c r="G254" s="598"/>
      <c r="H254" s="599"/>
      <c r="I254" s="211"/>
    </row>
    <row r="255" spans="2:9" x14ac:dyDescent="0.2">
      <c r="B255" s="600"/>
      <c r="C255" s="601"/>
      <c r="D255" s="601"/>
      <c r="E255" s="601"/>
      <c r="F255" s="601"/>
      <c r="G255" s="601"/>
      <c r="H255" s="602"/>
      <c r="I255" s="211"/>
    </row>
    <row r="257" spans="2:10" x14ac:dyDescent="0.2">
      <c r="B257" s="594" t="s">
        <v>285</v>
      </c>
      <c r="C257" s="595"/>
      <c r="D257" s="595"/>
      <c r="E257" s="595"/>
      <c r="F257" s="595"/>
      <c r="G257" s="595"/>
      <c r="H257" s="596"/>
      <c r="I257" s="211"/>
      <c r="J257" s="209"/>
    </row>
    <row r="258" spans="2:10" x14ac:dyDescent="0.2">
      <c r="B258" s="597"/>
      <c r="C258" s="598"/>
      <c r="D258" s="598"/>
      <c r="E258" s="598"/>
      <c r="F258" s="598"/>
      <c r="G258" s="598"/>
      <c r="H258" s="599"/>
      <c r="I258" s="211"/>
      <c r="J258" s="207"/>
    </row>
    <row r="259" spans="2:10" x14ac:dyDescent="0.2">
      <c r="B259" s="597"/>
      <c r="C259" s="598"/>
      <c r="D259" s="598"/>
      <c r="E259" s="598"/>
      <c r="F259" s="598"/>
      <c r="G259" s="598"/>
      <c r="H259" s="599"/>
      <c r="I259" s="211"/>
      <c r="J259" s="207"/>
    </row>
    <row r="260" spans="2:10" x14ac:dyDescent="0.2">
      <c r="B260" s="597"/>
      <c r="C260" s="598"/>
      <c r="D260" s="598"/>
      <c r="E260" s="598"/>
      <c r="F260" s="598"/>
      <c r="G260" s="598"/>
      <c r="H260" s="599"/>
      <c r="I260" s="211"/>
      <c r="J260" s="207"/>
    </row>
    <row r="261" spans="2:10" x14ac:dyDescent="0.2">
      <c r="B261" s="597"/>
      <c r="C261" s="598"/>
      <c r="D261" s="598"/>
      <c r="E261" s="598"/>
      <c r="F261" s="598"/>
      <c r="G261" s="598"/>
      <c r="H261" s="599"/>
      <c r="I261" s="211"/>
    </row>
    <row r="262" spans="2:10" x14ac:dyDescent="0.2">
      <c r="B262" s="597"/>
      <c r="C262" s="598"/>
      <c r="D262" s="598"/>
      <c r="E262" s="598"/>
      <c r="F262" s="598"/>
      <c r="G262" s="598"/>
      <c r="H262" s="599"/>
      <c r="I262" s="211"/>
    </row>
    <row r="263" spans="2:10" x14ac:dyDescent="0.2">
      <c r="B263" s="597"/>
      <c r="C263" s="598"/>
      <c r="D263" s="598"/>
      <c r="E263" s="598"/>
      <c r="F263" s="598"/>
      <c r="G263" s="598"/>
      <c r="H263" s="599"/>
      <c r="I263" s="211"/>
    </row>
    <row r="264" spans="2:10" x14ac:dyDescent="0.2">
      <c r="B264" s="597"/>
      <c r="C264" s="598"/>
      <c r="D264" s="598"/>
      <c r="E264" s="598"/>
      <c r="F264" s="598"/>
      <c r="G264" s="598"/>
      <c r="H264" s="599"/>
      <c r="I264" s="211"/>
    </row>
    <row r="265" spans="2:10" x14ac:dyDescent="0.2">
      <c r="B265" s="597"/>
      <c r="C265" s="598"/>
      <c r="D265" s="598"/>
      <c r="E265" s="598"/>
      <c r="F265" s="598"/>
      <c r="G265" s="598"/>
      <c r="H265" s="599"/>
      <c r="I265" s="211"/>
    </row>
    <row r="266" spans="2:10" x14ac:dyDescent="0.2">
      <c r="B266" s="597"/>
      <c r="C266" s="598"/>
      <c r="D266" s="598"/>
      <c r="E266" s="598"/>
      <c r="F266" s="598"/>
      <c r="G266" s="598"/>
      <c r="H266" s="599"/>
      <c r="I266" s="211"/>
    </row>
    <row r="267" spans="2:10" x14ac:dyDescent="0.2">
      <c r="B267" s="597"/>
      <c r="C267" s="598"/>
      <c r="D267" s="598"/>
      <c r="E267" s="598"/>
      <c r="F267" s="598"/>
      <c r="G267" s="598"/>
      <c r="H267" s="599"/>
      <c r="I267" s="211"/>
    </row>
    <row r="268" spans="2:10" x14ac:dyDescent="0.2">
      <c r="B268" s="597"/>
      <c r="C268" s="598"/>
      <c r="D268" s="598"/>
      <c r="E268" s="598"/>
      <c r="F268" s="598"/>
      <c r="G268" s="598"/>
      <c r="H268" s="599"/>
      <c r="I268" s="211"/>
    </row>
    <row r="269" spans="2:10" x14ac:dyDescent="0.2">
      <c r="B269" s="597"/>
      <c r="C269" s="598"/>
      <c r="D269" s="598"/>
      <c r="E269" s="598"/>
      <c r="F269" s="598"/>
      <c r="G269" s="598"/>
      <c r="H269" s="599"/>
      <c r="I269" s="211"/>
    </row>
    <row r="270" spans="2:10" x14ac:dyDescent="0.2">
      <c r="B270" s="597"/>
      <c r="C270" s="598"/>
      <c r="D270" s="598"/>
      <c r="E270" s="598"/>
      <c r="F270" s="598"/>
      <c r="G270" s="598"/>
      <c r="H270" s="599"/>
      <c r="I270" s="211"/>
    </row>
    <row r="271" spans="2:10" x14ac:dyDescent="0.2">
      <c r="B271" s="597"/>
      <c r="C271" s="598"/>
      <c r="D271" s="598"/>
      <c r="E271" s="598"/>
      <c r="F271" s="598"/>
      <c r="G271" s="598"/>
      <c r="H271" s="599"/>
      <c r="I271" s="211"/>
    </row>
    <row r="272" spans="2:10" x14ac:dyDescent="0.2">
      <c r="B272" s="597"/>
      <c r="C272" s="598"/>
      <c r="D272" s="598"/>
      <c r="E272" s="598"/>
      <c r="F272" s="598"/>
      <c r="G272" s="598"/>
      <c r="H272" s="599"/>
      <c r="I272" s="211"/>
    </row>
    <row r="273" spans="2:10" x14ac:dyDescent="0.2">
      <c r="B273" s="597"/>
      <c r="C273" s="598"/>
      <c r="D273" s="598"/>
      <c r="E273" s="598"/>
      <c r="F273" s="598"/>
      <c r="G273" s="598"/>
      <c r="H273" s="599"/>
      <c r="I273" s="211"/>
    </row>
    <row r="274" spans="2:10" x14ac:dyDescent="0.2">
      <c r="B274" s="597"/>
      <c r="C274" s="598"/>
      <c r="D274" s="598"/>
      <c r="E274" s="598"/>
      <c r="F274" s="598"/>
      <c r="G274" s="598"/>
      <c r="H274" s="599"/>
      <c r="I274" s="211"/>
    </row>
    <row r="275" spans="2:10" x14ac:dyDescent="0.2">
      <c r="B275" s="600"/>
      <c r="C275" s="601"/>
      <c r="D275" s="601"/>
      <c r="E275" s="601"/>
      <c r="F275" s="601"/>
      <c r="G275" s="601"/>
      <c r="H275" s="602"/>
      <c r="I275" s="211"/>
    </row>
    <row r="278" spans="2:10" x14ac:dyDescent="0.2">
      <c r="B278" s="594" t="s">
        <v>285</v>
      </c>
      <c r="C278" s="595"/>
      <c r="D278" s="595"/>
      <c r="E278" s="595"/>
      <c r="F278" s="595"/>
      <c r="G278" s="595"/>
      <c r="H278" s="596"/>
      <c r="I278" s="211"/>
      <c r="J278" s="209"/>
    </row>
    <row r="279" spans="2:10" x14ac:dyDescent="0.2">
      <c r="B279" s="597"/>
      <c r="C279" s="598"/>
      <c r="D279" s="598"/>
      <c r="E279" s="598"/>
      <c r="F279" s="598"/>
      <c r="G279" s="598"/>
      <c r="H279" s="599"/>
      <c r="I279" s="211"/>
      <c r="J279" s="207"/>
    </row>
    <row r="280" spans="2:10" x14ac:dyDescent="0.2">
      <c r="B280" s="597"/>
      <c r="C280" s="598"/>
      <c r="D280" s="598"/>
      <c r="E280" s="598"/>
      <c r="F280" s="598"/>
      <c r="G280" s="598"/>
      <c r="H280" s="599"/>
      <c r="I280" s="211"/>
      <c r="J280" s="207"/>
    </row>
    <row r="281" spans="2:10" x14ac:dyDescent="0.2">
      <c r="B281" s="597"/>
      <c r="C281" s="598"/>
      <c r="D281" s="598"/>
      <c r="E281" s="598"/>
      <c r="F281" s="598"/>
      <c r="G281" s="598"/>
      <c r="H281" s="599"/>
      <c r="I281" s="211"/>
      <c r="J281" s="207"/>
    </row>
    <row r="282" spans="2:10" x14ac:dyDescent="0.2">
      <c r="B282" s="597"/>
      <c r="C282" s="598"/>
      <c r="D282" s="598"/>
      <c r="E282" s="598"/>
      <c r="F282" s="598"/>
      <c r="G282" s="598"/>
      <c r="H282" s="599"/>
      <c r="I282" s="211"/>
    </row>
    <row r="283" spans="2:10" x14ac:dyDescent="0.2">
      <c r="B283" s="597"/>
      <c r="C283" s="598"/>
      <c r="D283" s="598"/>
      <c r="E283" s="598"/>
      <c r="F283" s="598"/>
      <c r="G283" s="598"/>
      <c r="H283" s="599"/>
      <c r="I283" s="211"/>
    </row>
    <row r="284" spans="2:10" x14ac:dyDescent="0.2">
      <c r="B284" s="597"/>
      <c r="C284" s="598"/>
      <c r="D284" s="598"/>
      <c r="E284" s="598"/>
      <c r="F284" s="598"/>
      <c r="G284" s="598"/>
      <c r="H284" s="599"/>
      <c r="I284" s="211"/>
    </row>
    <row r="285" spans="2:10" x14ac:dyDescent="0.2">
      <c r="B285" s="597"/>
      <c r="C285" s="598"/>
      <c r="D285" s="598"/>
      <c r="E285" s="598"/>
      <c r="F285" s="598"/>
      <c r="G285" s="598"/>
      <c r="H285" s="599"/>
      <c r="I285" s="211"/>
    </row>
    <row r="286" spans="2:10" x14ac:dyDescent="0.2">
      <c r="B286" s="597"/>
      <c r="C286" s="598"/>
      <c r="D286" s="598"/>
      <c r="E286" s="598"/>
      <c r="F286" s="598"/>
      <c r="G286" s="598"/>
      <c r="H286" s="599"/>
      <c r="I286" s="211"/>
    </row>
    <row r="287" spans="2:10" x14ac:dyDescent="0.2">
      <c r="B287" s="597"/>
      <c r="C287" s="598"/>
      <c r="D287" s="598"/>
      <c r="E287" s="598"/>
      <c r="F287" s="598"/>
      <c r="G287" s="598"/>
      <c r="H287" s="599"/>
      <c r="I287" s="211"/>
    </row>
    <row r="288" spans="2:10" x14ac:dyDescent="0.2">
      <c r="B288" s="597"/>
      <c r="C288" s="598"/>
      <c r="D288" s="598"/>
      <c r="E288" s="598"/>
      <c r="F288" s="598"/>
      <c r="G288" s="598"/>
      <c r="H288" s="599"/>
      <c r="I288" s="211"/>
    </row>
    <row r="289" spans="2:10" x14ac:dyDescent="0.2">
      <c r="B289" s="597"/>
      <c r="C289" s="598"/>
      <c r="D289" s="598"/>
      <c r="E289" s="598"/>
      <c r="F289" s="598"/>
      <c r="G289" s="598"/>
      <c r="H289" s="599"/>
      <c r="I289" s="211"/>
    </row>
    <row r="290" spans="2:10" x14ac:dyDescent="0.2">
      <c r="B290" s="597"/>
      <c r="C290" s="598"/>
      <c r="D290" s="598"/>
      <c r="E290" s="598"/>
      <c r="F290" s="598"/>
      <c r="G290" s="598"/>
      <c r="H290" s="599"/>
      <c r="I290" s="211"/>
    </row>
    <row r="291" spans="2:10" x14ac:dyDescent="0.2">
      <c r="B291" s="597"/>
      <c r="C291" s="598"/>
      <c r="D291" s="598"/>
      <c r="E291" s="598"/>
      <c r="F291" s="598"/>
      <c r="G291" s="598"/>
      <c r="H291" s="599"/>
      <c r="I291" s="211"/>
    </row>
    <row r="292" spans="2:10" x14ac:dyDescent="0.2">
      <c r="B292" s="597"/>
      <c r="C292" s="598"/>
      <c r="D292" s="598"/>
      <c r="E292" s="598"/>
      <c r="F292" s="598"/>
      <c r="G292" s="598"/>
      <c r="H292" s="599"/>
      <c r="I292" s="211"/>
    </row>
    <row r="293" spans="2:10" x14ac:dyDescent="0.2">
      <c r="B293" s="597"/>
      <c r="C293" s="598"/>
      <c r="D293" s="598"/>
      <c r="E293" s="598"/>
      <c r="F293" s="598"/>
      <c r="G293" s="598"/>
      <c r="H293" s="599"/>
      <c r="I293" s="211"/>
    </row>
    <row r="294" spans="2:10" x14ac:dyDescent="0.2">
      <c r="B294" s="597"/>
      <c r="C294" s="598"/>
      <c r="D294" s="598"/>
      <c r="E294" s="598"/>
      <c r="F294" s="598"/>
      <c r="G294" s="598"/>
      <c r="H294" s="599"/>
      <c r="I294" s="211"/>
    </row>
    <row r="295" spans="2:10" x14ac:dyDescent="0.2">
      <c r="B295" s="597"/>
      <c r="C295" s="598"/>
      <c r="D295" s="598"/>
      <c r="E295" s="598"/>
      <c r="F295" s="598"/>
      <c r="G295" s="598"/>
      <c r="H295" s="599"/>
      <c r="I295" s="211"/>
    </row>
    <row r="296" spans="2:10" x14ac:dyDescent="0.2">
      <c r="B296" s="600"/>
      <c r="C296" s="601"/>
      <c r="D296" s="601"/>
      <c r="E296" s="601"/>
      <c r="F296" s="601"/>
      <c r="G296" s="601"/>
      <c r="H296" s="602"/>
      <c r="I296" s="211"/>
    </row>
    <row r="299" spans="2:10" x14ac:dyDescent="0.2">
      <c r="B299" s="594" t="s">
        <v>285</v>
      </c>
      <c r="C299" s="595"/>
      <c r="D299" s="595"/>
      <c r="E299" s="595"/>
      <c r="F299" s="595"/>
      <c r="G299" s="595"/>
      <c r="H299" s="596"/>
      <c r="I299" s="211"/>
      <c r="J299" s="209"/>
    </row>
    <row r="300" spans="2:10" x14ac:dyDescent="0.2">
      <c r="B300" s="597"/>
      <c r="C300" s="598"/>
      <c r="D300" s="598"/>
      <c r="E300" s="598"/>
      <c r="F300" s="598"/>
      <c r="G300" s="598"/>
      <c r="H300" s="599"/>
      <c r="I300" s="211"/>
      <c r="J300" s="207"/>
    </row>
    <row r="301" spans="2:10" x14ac:dyDescent="0.2">
      <c r="B301" s="597"/>
      <c r="C301" s="598"/>
      <c r="D301" s="598"/>
      <c r="E301" s="598"/>
      <c r="F301" s="598"/>
      <c r="G301" s="598"/>
      <c r="H301" s="599"/>
      <c r="I301" s="211"/>
      <c r="J301" s="207"/>
    </row>
    <row r="302" spans="2:10" x14ac:dyDescent="0.2">
      <c r="B302" s="597"/>
      <c r="C302" s="598"/>
      <c r="D302" s="598"/>
      <c r="E302" s="598"/>
      <c r="F302" s="598"/>
      <c r="G302" s="598"/>
      <c r="H302" s="599"/>
      <c r="I302" s="211"/>
      <c r="J302" s="207"/>
    </row>
    <row r="303" spans="2:10" x14ac:dyDescent="0.2">
      <c r="B303" s="597"/>
      <c r="C303" s="598"/>
      <c r="D303" s="598"/>
      <c r="E303" s="598"/>
      <c r="F303" s="598"/>
      <c r="G303" s="598"/>
      <c r="H303" s="599"/>
      <c r="I303" s="211"/>
    </row>
    <row r="304" spans="2:10" x14ac:dyDescent="0.2">
      <c r="B304" s="597"/>
      <c r="C304" s="598"/>
      <c r="D304" s="598"/>
      <c r="E304" s="598"/>
      <c r="F304" s="598"/>
      <c r="G304" s="598"/>
      <c r="H304" s="599"/>
      <c r="I304" s="211"/>
    </row>
    <row r="305" spans="2:10" x14ac:dyDescent="0.2">
      <c r="B305" s="597"/>
      <c r="C305" s="598"/>
      <c r="D305" s="598"/>
      <c r="E305" s="598"/>
      <c r="F305" s="598"/>
      <c r="G305" s="598"/>
      <c r="H305" s="599"/>
      <c r="I305" s="211"/>
    </row>
    <row r="306" spans="2:10" x14ac:dyDescent="0.2">
      <c r="B306" s="597"/>
      <c r="C306" s="598"/>
      <c r="D306" s="598"/>
      <c r="E306" s="598"/>
      <c r="F306" s="598"/>
      <c r="G306" s="598"/>
      <c r="H306" s="599"/>
      <c r="I306" s="211"/>
    </row>
    <row r="307" spans="2:10" x14ac:dyDescent="0.2">
      <c r="B307" s="597"/>
      <c r="C307" s="598"/>
      <c r="D307" s="598"/>
      <c r="E307" s="598"/>
      <c r="F307" s="598"/>
      <c r="G307" s="598"/>
      <c r="H307" s="599"/>
      <c r="I307" s="211"/>
    </row>
    <row r="308" spans="2:10" x14ac:dyDescent="0.2">
      <c r="B308" s="597"/>
      <c r="C308" s="598"/>
      <c r="D308" s="598"/>
      <c r="E308" s="598"/>
      <c r="F308" s="598"/>
      <c r="G308" s="598"/>
      <c r="H308" s="599"/>
      <c r="I308" s="211"/>
    </row>
    <row r="309" spans="2:10" x14ac:dyDescent="0.2">
      <c r="B309" s="597"/>
      <c r="C309" s="598"/>
      <c r="D309" s="598"/>
      <c r="E309" s="598"/>
      <c r="F309" s="598"/>
      <c r="G309" s="598"/>
      <c r="H309" s="599"/>
      <c r="I309" s="211"/>
    </row>
    <row r="310" spans="2:10" x14ac:dyDescent="0.2">
      <c r="B310" s="597"/>
      <c r="C310" s="598"/>
      <c r="D310" s="598"/>
      <c r="E310" s="598"/>
      <c r="F310" s="598"/>
      <c r="G310" s="598"/>
      <c r="H310" s="599"/>
      <c r="I310" s="211"/>
    </row>
    <row r="311" spans="2:10" x14ac:dyDescent="0.2">
      <c r="B311" s="597"/>
      <c r="C311" s="598"/>
      <c r="D311" s="598"/>
      <c r="E311" s="598"/>
      <c r="F311" s="598"/>
      <c r="G311" s="598"/>
      <c r="H311" s="599"/>
      <c r="I311" s="211"/>
    </row>
    <row r="312" spans="2:10" x14ac:dyDescent="0.2">
      <c r="B312" s="597"/>
      <c r="C312" s="598"/>
      <c r="D312" s="598"/>
      <c r="E312" s="598"/>
      <c r="F312" s="598"/>
      <c r="G312" s="598"/>
      <c r="H312" s="599"/>
      <c r="I312" s="211"/>
    </row>
    <row r="313" spans="2:10" x14ac:dyDescent="0.2">
      <c r="B313" s="597"/>
      <c r="C313" s="598"/>
      <c r="D313" s="598"/>
      <c r="E313" s="598"/>
      <c r="F313" s="598"/>
      <c r="G313" s="598"/>
      <c r="H313" s="599"/>
      <c r="I313" s="211"/>
    </row>
    <row r="314" spans="2:10" x14ac:dyDescent="0.2">
      <c r="B314" s="597"/>
      <c r="C314" s="598"/>
      <c r="D314" s="598"/>
      <c r="E314" s="598"/>
      <c r="F314" s="598"/>
      <c r="G314" s="598"/>
      <c r="H314" s="599"/>
      <c r="I314" s="211"/>
    </row>
    <row r="315" spans="2:10" x14ac:dyDescent="0.2">
      <c r="B315" s="597"/>
      <c r="C315" s="598"/>
      <c r="D315" s="598"/>
      <c r="E315" s="598"/>
      <c r="F315" s="598"/>
      <c r="G315" s="598"/>
      <c r="H315" s="599"/>
      <c r="I315" s="211"/>
    </row>
    <row r="316" spans="2:10" x14ac:dyDescent="0.2">
      <c r="B316" s="597"/>
      <c r="C316" s="598"/>
      <c r="D316" s="598"/>
      <c r="E316" s="598"/>
      <c r="F316" s="598"/>
      <c r="G316" s="598"/>
      <c r="H316" s="599"/>
      <c r="I316" s="211"/>
    </row>
    <row r="317" spans="2:10" x14ac:dyDescent="0.2">
      <c r="B317" s="600"/>
      <c r="C317" s="601"/>
      <c r="D317" s="601"/>
      <c r="E317" s="601"/>
      <c r="F317" s="601"/>
      <c r="G317" s="601"/>
      <c r="H317" s="602"/>
      <c r="I317" s="211"/>
    </row>
    <row r="319" spans="2:10" x14ac:dyDescent="0.2">
      <c r="B319" s="594" t="s">
        <v>285</v>
      </c>
      <c r="C319" s="595"/>
      <c r="D319" s="595"/>
      <c r="E319" s="595"/>
      <c r="F319" s="595"/>
      <c r="G319" s="595"/>
      <c r="H319" s="596"/>
      <c r="I319" s="211"/>
      <c r="J319" s="209"/>
    </row>
    <row r="320" spans="2:10" x14ac:dyDescent="0.2">
      <c r="B320" s="597"/>
      <c r="C320" s="598"/>
      <c r="D320" s="598"/>
      <c r="E320" s="598"/>
      <c r="F320" s="598"/>
      <c r="G320" s="598"/>
      <c r="H320" s="599"/>
      <c r="I320" s="211"/>
      <c r="J320" s="207"/>
    </row>
    <row r="321" spans="2:10" x14ac:dyDescent="0.2">
      <c r="B321" s="597"/>
      <c r="C321" s="598"/>
      <c r="D321" s="598"/>
      <c r="E321" s="598"/>
      <c r="F321" s="598"/>
      <c r="G321" s="598"/>
      <c r="H321" s="599"/>
      <c r="I321" s="211"/>
      <c r="J321" s="207"/>
    </row>
    <row r="322" spans="2:10" x14ac:dyDescent="0.2">
      <c r="B322" s="597"/>
      <c r="C322" s="598"/>
      <c r="D322" s="598"/>
      <c r="E322" s="598"/>
      <c r="F322" s="598"/>
      <c r="G322" s="598"/>
      <c r="H322" s="599"/>
      <c r="I322" s="211"/>
      <c r="J322" s="207"/>
    </row>
    <row r="323" spans="2:10" x14ac:dyDescent="0.2">
      <c r="B323" s="597"/>
      <c r="C323" s="598"/>
      <c r="D323" s="598"/>
      <c r="E323" s="598"/>
      <c r="F323" s="598"/>
      <c r="G323" s="598"/>
      <c r="H323" s="599"/>
      <c r="I323" s="211"/>
    </row>
    <row r="324" spans="2:10" x14ac:dyDescent="0.2">
      <c r="B324" s="597"/>
      <c r="C324" s="598"/>
      <c r="D324" s="598"/>
      <c r="E324" s="598"/>
      <c r="F324" s="598"/>
      <c r="G324" s="598"/>
      <c r="H324" s="599"/>
      <c r="I324" s="211"/>
    </row>
    <row r="325" spans="2:10" x14ac:dyDescent="0.2">
      <c r="B325" s="597"/>
      <c r="C325" s="598"/>
      <c r="D325" s="598"/>
      <c r="E325" s="598"/>
      <c r="F325" s="598"/>
      <c r="G325" s="598"/>
      <c r="H325" s="599"/>
      <c r="I325" s="211"/>
    </row>
    <row r="326" spans="2:10" x14ac:dyDescent="0.2">
      <c r="B326" s="597"/>
      <c r="C326" s="598"/>
      <c r="D326" s="598"/>
      <c r="E326" s="598"/>
      <c r="F326" s="598"/>
      <c r="G326" s="598"/>
      <c r="H326" s="599"/>
      <c r="I326" s="211"/>
    </row>
    <row r="327" spans="2:10" x14ac:dyDescent="0.2">
      <c r="B327" s="597"/>
      <c r="C327" s="598"/>
      <c r="D327" s="598"/>
      <c r="E327" s="598"/>
      <c r="F327" s="598"/>
      <c r="G327" s="598"/>
      <c r="H327" s="599"/>
      <c r="I327" s="211"/>
    </row>
    <row r="328" spans="2:10" x14ac:dyDescent="0.2">
      <c r="B328" s="597"/>
      <c r="C328" s="598"/>
      <c r="D328" s="598"/>
      <c r="E328" s="598"/>
      <c r="F328" s="598"/>
      <c r="G328" s="598"/>
      <c r="H328" s="599"/>
      <c r="I328" s="211"/>
    </row>
    <row r="329" spans="2:10" x14ac:dyDescent="0.2">
      <c r="B329" s="597"/>
      <c r="C329" s="598"/>
      <c r="D329" s="598"/>
      <c r="E329" s="598"/>
      <c r="F329" s="598"/>
      <c r="G329" s="598"/>
      <c r="H329" s="599"/>
      <c r="I329" s="211"/>
    </row>
    <row r="330" spans="2:10" x14ac:dyDescent="0.2">
      <c r="B330" s="597"/>
      <c r="C330" s="598"/>
      <c r="D330" s="598"/>
      <c r="E330" s="598"/>
      <c r="F330" s="598"/>
      <c r="G330" s="598"/>
      <c r="H330" s="599"/>
      <c r="I330" s="211"/>
    </row>
    <row r="331" spans="2:10" x14ac:dyDescent="0.2">
      <c r="B331" s="597"/>
      <c r="C331" s="598"/>
      <c r="D331" s="598"/>
      <c r="E331" s="598"/>
      <c r="F331" s="598"/>
      <c r="G331" s="598"/>
      <c r="H331" s="599"/>
      <c r="I331" s="211"/>
    </row>
    <row r="332" spans="2:10" x14ac:dyDescent="0.2">
      <c r="B332" s="597"/>
      <c r="C332" s="598"/>
      <c r="D332" s="598"/>
      <c r="E332" s="598"/>
      <c r="F332" s="598"/>
      <c r="G332" s="598"/>
      <c r="H332" s="599"/>
      <c r="I332" s="211"/>
    </row>
    <row r="333" spans="2:10" x14ac:dyDescent="0.2">
      <c r="B333" s="597"/>
      <c r="C333" s="598"/>
      <c r="D333" s="598"/>
      <c r="E333" s="598"/>
      <c r="F333" s="598"/>
      <c r="G333" s="598"/>
      <c r="H333" s="599"/>
      <c r="I333" s="211"/>
    </row>
    <row r="334" spans="2:10" x14ac:dyDescent="0.2">
      <c r="B334" s="597"/>
      <c r="C334" s="598"/>
      <c r="D334" s="598"/>
      <c r="E334" s="598"/>
      <c r="F334" s="598"/>
      <c r="G334" s="598"/>
      <c r="H334" s="599"/>
      <c r="I334" s="211"/>
    </row>
    <row r="335" spans="2:10" x14ac:dyDescent="0.2">
      <c r="B335" s="597"/>
      <c r="C335" s="598"/>
      <c r="D335" s="598"/>
      <c r="E335" s="598"/>
      <c r="F335" s="598"/>
      <c r="G335" s="598"/>
      <c r="H335" s="599"/>
      <c r="I335" s="211"/>
    </row>
    <row r="336" spans="2:10" x14ac:dyDescent="0.2">
      <c r="B336" s="597"/>
      <c r="C336" s="598"/>
      <c r="D336" s="598"/>
      <c r="E336" s="598"/>
      <c r="F336" s="598"/>
      <c r="G336" s="598"/>
      <c r="H336" s="599"/>
      <c r="I336" s="211"/>
    </row>
    <row r="337" spans="2:10" x14ac:dyDescent="0.2">
      <c r="B337" s="600"/>
      <c r="C337" s="601"/>
      <c r="D337" s="601"/>
      <c r="E337" s="601"/>
      <c r="F337" s="601"/>
      <c r="G337" s="601"/>
      <c r="H337" s="602"/>
      <c r="I337" s="211"/>
    </row>
    <row r="340" spans="2:10" x14ac:dyDescent="0.2">
      <c r="B340" s="594" t="s">
        <v>285</v>
      </c>
      <c r="C340" s="595"/>
      <c r="D340" s="595"/>
      <c r="E340" s="595"/>
      <c r="F340" s="595"/>
      <c r="G340" s="595"/>
      <c r="H340" s="596"/>
      <c r="I340" s="211"/>
      <c r="J340" s="209"/>
    </row>
    <row r="341" spans="2:10" x14ac:dyDescent="0.2">
      <c r="B341" s="597"/>
      <c r="C341" s="598"/>
      <c r="D341" s="598"/>
      <c r="E341" s="598"/>
      <c r="F341" s="598"/>
      <c r="G341" s="598"/>
      <c r="H341" s="599"/>
      <c r="I341" s="211"/>
      <c r="J341" s="207"/>
    </row>
    <row r="342" spans="2:10" x14ac:dyDescent="0.2">
      <c r="B342" s="597"/>
      <c r="C342" s="598"/>
      <c r="D342" s="598"/>
      <c r="E342" s="598"/>
      <c r="F342" s="598"/>
      <c r="G342" s="598"/>
      <c r="H342" s="599"/>
      <c r="I342" s="211"/>
      <c r="J342" s="207"/>
    </row>
    <row r="343" spans="2:10" x14ac:dyDescent="0.2">
      <c r="B343" s="597"/>
      <c r="C343" s="598"/>
      <c r="D343" s="598"/>
      <c r="E343" s="598"/>
      <c r="F343" s="598"/>
      <c r="G343" s="598"/>
      <c r="H343" s="599"/>
      <c r="I343" s="211"/>
      <c r="J343" s="207"/>
    </row>
    <row r="344" spans="2:10" x14ac:dyDescent="0.2">
      <c r="B344" s="597"/>
      <c r="C344" s="598"/>
      <c r="D344" s="598"/>
      <c r="E344" s="598"/>
      <c r="F344" s="598"/>
      <c r="G344" s="598"/>
      <c r="H344" s="599"/>
      <c r="I344" s="211"/>
    </row>
    <row r="345" spans="2:10" x14ac:dyDescent="0.2">
      <c r="B345" s="597"/>
      <c r="C345" s="598"/>
      <c r="D345" s="598"/>
      <c r="E345" s="598"/>
      <c r="F345" s="598"/>
      <c r="G345" s="598"/>
      <c r="H345" s="599"/>
      <c r="I345" s="211"/>
    </row>
    <row r="346" spans="2:10" x14ac:dyDescent="0.2">
      <c r="B346" s="597"/>
      <c r="C346" s="598"/>
      <c r="D346" s="598"/>
      <c r="E346" s="598"/>
      <c r="F346" s="598"/>
      <c r="G346" s="598"/>
      <c r="H346" s="599"/>
      <c r="I346" s="211"/>
    </row>
    <row r="347" spans="2:10" x14ac:dyDescent="0.2">
      <c r="B347" s="597"/>
      <c r="C347" s="598"/>
      <c r="D347" s="598"/>
      <c r="E347" s="598"/>
      <c r="F347" s="598"/>
      <c r="G347" s="598"/>
      <c r="H347" s="599"/>
      <c r="I347" s="211"/>
    </row>
    <row r="348" spans="2:10" x14ac:dyDescent="0.2">
      <c r="B348" s="597"/>
      <c r="C348" s="598"/>
      <c r="D348" s="598"/>
      <c r="E348" s="598"/>
      <c r="F348" s="598"/>
      <c r="G348" s="598"/>
      <c r="H348" s="599"/>
      <c r="I348" s="211"/>
    </row>
    <row r="349" spans="2:10" x14ac:dyDescent="0.2">
      <c r="B349" s="597"/>
      <c r="C349" s="598"/>
      <c r="D349" s="598"/>
      <c r="E349" s="598"/>
      <c r="F349" s="598"/>
      <c r="G349" s="598"/>
      <c r="H349" s="599"/>
      <c r="I349" s="211"/>
    </row>
    <row r="350" spans="2:10" x14ac:dyDescent="0.2">
      <c r="B350" s="597"/>
      <c r="C350" s="598"/>
      <c r="D350" s="598"/>
      <c r="E350" s="598"/>
      <c r="F350" s="598"/>
      <c r="G350" s="598"/>
      <c r="H350" s="599"/>
      <c r="I350" s="211"/>
    </row>
    <row r="351" spans="2:10" x14ac:dyDescent="0.2">
      <c r="B351" s="597"/>
      <c r="C351" s="598"/>
      <c r="D351" s="598"/>
      <c r="E351" s="598"/>
      <c r="F351" s="598"/>
      <c r="G351" s="598"/>
      <c r="H351" s="599"/>
      <c r="I351" s="211"/>
    </row>
    <row r="352" spans="2:10" x14ac:dyDescent="0.2">
      <c r="B352" s="597"/>
      <c r="C352" s="598"/>
      <c r="D352" s="598"/>
      <c r="E352" s="598"/>
      <c r="F352" s="598"/>
      <c r="G352" s="598"/>
      <c r="H352" s="599"/>
      <c r="I352" s="211"/>
    </row>
    <row r="353" spans="2:10" x14ac:dyDescent="0.2">
      <c r="B353" s="597"/>
      <c r="C353" s="598"/>
      <c r="D353" s="598"/>
      <c r="E353" s="598"/>
      <c r="F353" s="598"/>
      <c r="G353" s="598"/>
      <c r="H353" s="599"/>
      <c r="I353" s="211"/>
    </row>
    <row r="354" spans="2:10" x14ac:dyDescent="0.2">
      <c r="B354" s="597"/>
      <c r="C354" s="598"/>
      <c r="D354" s="598"/>
      <c r="E354" s="598"/>
      <c r="F354" s="598"/>
      <c r="G354" s="598"/>
      <c r="H354" s="599"/>
      <c r="I354" s="211"/>
    </row>
    <row r="355" spans="2:10" x14ac:dyDescent="0.2">
      <c r="B355" s="597"/>
      <c r="C355" s="598"/>
      <c r="D355" s="598"/>
      <c r="E355" s="598"/>
      <c r="F355" s="598"/>
      <c r="G355" s="598"/>
      <c r="H355" s="599"/>
      <c r="I355" s="211"/>
    </row>
    <row r="356" spans="2:10" x14ac:dyDescent="0.2">
      <c r="B356" s="597"/>
      <c r="C356" s="598"/>
      <c r="D356" s="598"/>
      <c r="E356" s="598"/>
      <c r="F356" s="598"/>
      <c r="G356" s="598"/>
      <c r="H356" s="599"/>
      <c r="I356" s="211"/>
    </row>
    <row r="357" spans="2:10" x14ac:dyDescent="0.2">
      <c r="B357" s="597"/>
      <c r="C357" s="598"/>
      <c r="D357" s="598"/>
      <c r="E357" s="598"/>
      <c r="F357" s="598"/>
      <c r="G357" s="598"/>
      <c r="H357" s="599"/>
      <c r="I357" s="211"/>
    </row>
    <row r="358" spans="2:10" x14ac:dyDescent="0.2">
      <c r="B358" s="600"/>
      <c r="C358" s="601"/>
      <c r="D358" s="601"/>
      <c r="E358" s="601"/>
      <c r="F358" s="601"/>
      <c r="G358" s="601"/>
      <c r="H358" s="602"/>
      <c r="I358" s="211"/>
    </row>
    <row r="361" spans="2:10" x14ac:dyDescent="0.2">
      <c r="B361" s="594" t="s">
        <v>285</v>
      </c>
      <c r="C361" s="595"/>
      <c r="D361" s="595"/>
      <c r="E361" s="595"/>
      <c r="F361" s="595"/>
      <c r="G361" s="595"/>
      <c r="H361" s="596"/>
      <c r="I361" s="211"/>
      <c r="J361" s="209"/>
    </row>
    <row r="362" spans="2:10" x14ac:dyDescent="0.2">
      <c r="B362" s="597"/>
      <c r="C362" s="598"/>
      <c r="D362" s="598"/>
      <c r="E362" s="598"/>
      <c r="F362" s="598"/>
      <c r="G362" s="598"/>
      <c r="H362" s="599"/>
      <c r="I362" s="211"/>
      <c r="J362" s="207"/>
    </row>
    <row r="363" spans="2:10" x14ac:dyDescent="0.2">
      <c r="B363" s="597"/>
      <c r="C363" s="598"/>
      <c r="D363" s="598"/>
      <c r="E363" s="598"/>
      <c r="F363" s="598"/>
      <c r="G363" s="598"/>
      <c r="H363" s="599"/>
      <c r="I363" s="211"/>
      <c r="J363" s="207"/>
    </row>
    <row r="364" spans="2:10" x14ac:dyDescent="0.2">
      <c r="B364" s="597"/>
      <c r="C364" s="598"/>
      <c r="D364" s="598"/>
      <c r="E364" s="598"/>
      <c r="F364" s="598"/>
      <c r="G364" s="598"/>
      <c r="H364" s="599"/>
      <c r="I364" s="211"/>
      <c r="J364" s="207"/>
    </row>
    <row r="365" spans="2:10" x14ac:dyDescent="0.2">
      <c r="B365" s="597"/>
      <c r="C365" s="598"/>
      <c r="D365" s="598"/>
      <c r="E365" s="598"/>
      <c r="F365" s="598"/>
      <c r="G365" s="598"/>
      <c r="H365" s="599"/>
      <c r="I365" s="211"/>
    </row>
    <row r="366" spans="2:10" x14ac:dyDescent="0.2">
      <c r="B366" s="597"/>
      <c r="C366" s="598"/>
      <c r="D366" s="598"/>
      <c r="E366" s="598"/>
      <c r="F366" s="598"/>
      <c r="G366" s="598"/>
      <c r="H366" s="599"/>
      <c r="I366" s="211"/>
    </row>
    <row r="367" spans="2:10" x14ac:dyDescent="0.2">
      <c r="B367" s="597"/>
      <c r="C367" s="598"/>
      <c r="D367" s="598"/>
      <c r="E367" s="598"/>
      <c r="F367" s="598"/>
      <c r="G367" s="598"/>
      <c r="H367" s="599"/>
      <c r="I367" s="211"/>
    </row>
    <row r="368" spans="2:10" x14ac:dyDescent="0.2">
      <c r="B368" s="597"/>
      <c r="C368" s="598"/>
      <c r="D368" s="598"/>
      <c r="E368" s="598"/>
      <c r="F368" s="598"/>
      <c r="G368" s="598"/>
      <c r="H368" s="599"/>
      <c r="I368" s="211"/>
    </row>
    <row r="369" spans="2:10" x14ac:dyDescent="0.2">
      <c r="B369" s="597"/>
      <c r="C369" s="598"/>
      <c r="D369" s="598"/>
      <c r="E369" s="598"/>
      <c r="F369" s="598"/>
      <c r="G369" s="598"/>
      <c r="H369" s="599"/>
      <c r="I369" s="211"/>
    </row>
    <row r="370" spans="2:10" x14ac:dyDescent="0.2">
      <c r="B370" s="597"/>
      <c r="C370" s="598"/>
      <c r="D370" s="598"/>
      <c r="E370" s="598"/>
      <c r="F370" s="598"/>
      <c r="G370" s="598"/>
      <c r="H370" s="599"/>
      <c r="I370" s="211"/>
    </row>
    <row r="371" spans="2:10" x14ac:dyDescent="0.2">
      <c r="B371" s="597"/>
      <c r="C371" s="598"/>
      <c r="D371" s="598"/>
      <c r="E371" s="598"/>
      <c r="F371" s="598"/>
      <c r="G371" s="598"/>
      <c r="H371" s="599"/>
      <c r="I371" s="211"/>
    </row>
    <row r="372" spans="2:10" x14ac:dyDescent="0.2">
      <c r="B372" s="597"/>
      <c r="C372" s="598"/>
      <c r="D372" s="598"/>
      <c r="E372" s="598"/>
      <c r="F372" s="598"/>
      <c r="G372" s="598"/>
      <c r="H372" s="599"/>
      <c r="I372" s="211"/>
    </row>
    <row r="373" spans="2:10" x14ac:dyDescent="0.2">
      <c r="B373" s="597"/>
      <c r="C373" s="598"/>
      <c r="D373" s="598"/>
      <c r="E373" s="598"/>
      <c r="F373" s="598"/>
      <c r="G373" s="598"/>
      <c r="H373" s="599"/>
      <c r="I373" s="211"/>
    </row>
    <row r="374" spans="2:10" x14ac:dyDescent="0.2">
      <c r="B374" s="597"/>
      <c r="C374" s="598"/>
      <c r="D374" s="598"/>
      <c r="E374" s="598"/>
      <c r="F374" s="598"/>
      <c r="G374" s="598"/>
      <c r="H374" s="599"/>
      <c r="I374" s="211"/>
    </row>
    <row r="375" spans="2:10" x14ac:dyDescent="0.2">
      <c r="B375" s="597"/>
      <c r="C375" s="598"/>
      <c r="D375" s="598"/>
      <c r="E375" s="598"/>
      <c r="F375" s="598"/>
      <c r="G375" s="598"/>
      <c r="H375" s="599"/>
      <c r="I375" s="211"/>
    </row>
    <row r="376" spans="2:10" x14ac:dyDescent="0.2">
      <c r="B376" s="597"/>
      <c r="C376" s="598"/>
      <c r="D376" s="598"/>
      <c r="E376" s="598"/>
      <c r="F376" s="598"/>
      <c r="G376" s="598"/>
      <c r="H376" s="599"/>
      <c r="I376" s="211"/>
    </row>
    <row r="377" spans="2:10" x14ac:dyDescent="0.2">
      <c r="B377" s="597"/>
      <c r="C377" s="598"/>
      <c r="D377" s="598"/>
      <c r="E377" s="598"/>
      <c r="F377" s="598"/>
      <c r="G377" s="598"/>
      <c r="H377" s="599"/>
      <c r="I377" s="211"/>
    </row>
    <row r="378" spans="2:10" x14ac:dyDescent="0.2">
      <c r="B378" s="597"/>
      <c r="C378" s="598"/>
      <c r="D378" s="598"/>
      <c r="E378" s="598"/>
      <c r="F378" s="598"/>
      <c r="G378" s="598"/>
      <c r="H378" s="599"/>
      <c r="I378" s="211"/>
    </row>
    <row r="379" spans="2:10" x14ac:dyDescent="0.2">
      <c r="B379" s="600"/>
      <c r="C379" s="601"/>
      <c r="D379" s="601"/>
      <c r="E379" s="601"/>
      <c r="F379" s="601"/>
      <c r="G379" s="601"/>
      <c r="H379" s="602"/>
      <c r="I379" s="211"/>
    </row>
    <row r="381" spans="2:10" x14ac:dyDescent="0.2">
      <c r="B381" s="594" t="s">
        <v>285</v>
      </c>
      <c r="C381" s="595"/>
      <c r="D381" s="595"/>
      <c r="E381" s="595"/>
      <c r="F381" s="595"/>
      <c r="G381" s="595"/>
      <c r="H381" s="596"/>
      <c r="I381" s="211"/>
      <c r="J381" s="209"/>
    </row>
    <row r="382" spans="2:10" x14ac:dyDescent="0.2">
      <c r="B382" s="597"/>
      <c r="C382" s="598"/>
      <c r="D382" s="598"/>
      <c r="E382" s="598"/>
      <c r="F382" s="598"/>
      <c r="G382" s="598"/>
      <c r="H382" s="599"/>
      <c r="I382" s="211"/>
      <c r="J382" s="207"/>
    </row>
    <row r="383" spans="2:10" x14ac:dyDescent="0.2">
      <c r="B383" s="597"/>
      <c r="C383" s="598"/>
      <c r="D383" s="598"/>
      <c r="E383" s="598"/>
      <c r="F383" s="598"/>
      <c r="G383" s="598"/>
      <c r="H383" s="599"/>
      <c r="I383" s="211"/>
      <c r="J383" s="207"/>
    </row>
    <row r="384" spans="2:10" x14ac:dyDescent="0.2">
      <c r="B384" s="597"/>
      <c r="C384" s="598"/>
      <c r="D384" s="598"/>
      <c r="E384" s="598"/>
      <c r="F384" s="598"/>
      <c r="G384" s="598"/>
      <c r="H384" s="599"/>
      <c r="I384" s="211"/>
      <c r="J384" s="207"/>
    </row>
    <row r="385" spans="2:9" x14ac:dyDescent="0.2">
      <c r="B385" s="597"/>
      <c r="C385" s="598"/>
      <c r="D385" s="598"/>
      <c r="E385" s="598"/>
      <c r="F385" s="598"/>
      <c r="G385" s="598"/>
      <c r="H385" s="599"/>
      <c r="I385" s="211"/>
    </row>
    <row r="386" spans="2:9" x14ac:dyDescent="0.2">
      <c r="B386" s="597"/>
      <c r="C386" s="598"/>
      <c r="D386" s="598"/>
      <c r="E386" s="598"/>
      <c r="F386" s="598"/>
      <c r="G386" s="598"/>
      <c r="H386" s="599"/>
      <c r="I386" s="211"/>
    </row>
    <row r="387" spans="2:9" x14ac:dyDescent="0.2">
      <c r="B387" s="597"/>
      <c r="C387" s="598"/>
      <c r="D387" s="598"/>
      <c r="E387" s="598"/>
      <c r="F387" s="598"/>
      <c r="G387" s="598"/>
      <c r="H387" s="599"/>
      <c r="I387" s="211"/>
    </row>
    <row r="388" spans="2:9" x14ac:dyDescent="0.2">
      <c r="B388" s="597"/>
      <c r="C388" s="598"/>
      <c r="D388" s="598"/>
      <c r="E388" s="598"/>
      <c r="F388" s="598"/>
      <c r="G388" s="598"/>
      <c r="H388" s="599"/>
      <c r="I388" s="211"/>
    </row>
    <row r="389" spans="2:9" x14ac:dyDescent="0.2">
      <c r="B389" s="597"/>
      <c r="C389" s="598"/>
      <c r="D389" s="598"/>
      <c r="E389" s="598"/>
      <c r="F389" s="598"/>
      <c r="G389" s="598"/>
      <c r="H389" s="599"/>
      <c r="I389" s="211"/>
    </row>
    <row r="390" spans="2:9" x14ac:dyDescent="0.2">
      <c r="B390" s="597"/>
      <c r="C390" s="598"/>
      <c r="D390" s="598"/>
      <c r="E390" s="598"/>
      <c r="F390" s="598"/>
      <c r="G390" s="598"/>
      <c r="H390" s="599"/>
      <c r="I390" s="211"/>
    </row>
    <row r="391" spans="2:9" x14ac:dyDescent="0.2">
      <c r="B391" s="597"/>
      <c r="C391" s="598"/>
      <c r="D391" s="598"/>
      <c r="E391" s="598"/>
      <c r="F391" s="598"/>
      <c r="G391" s="598"/>
      <c r="H391" s="599"/>
      <c r="I391" s="211"/>
    </row>
    <row r="392" spans="2:9" x14ac:dyDescent="0.2">
      <c r="B392" s="597"/>
      <c r="C392" s="598"/>
      <c r="D392" s="598"/>
      <c r="E392" s="598"/>
      <c r="F392" s="598"/>
      <c r="G392" s="598"/>
      <c r="H392" s="599"/>
      <c r="I392" s="211"/>
    </row>
    <row r="393" spans="2:9" x14ac:dyDescent="0.2">
      <c r="B393" s="597"/>
      <c r="C393" s="598"/>
      <c r="D393" s="598"/>
      <c r="E393" s="598"/>
      <c r="F393" s="598"/>
      <c r="G393" s="598"/>
      <c r="H393" s="599"/>
      <c r="I393" s="211"/>
    </row>
    <row r="394" spans="2:9" x14ac:dyDescent="0.2">
      <c r="B394" s="597"/>
      <c r="C394" s="598"/>
      <c r="D394" s="598"/>
      <c r="E394" s="598"/>
      <c r="F394" s="598"/>
      <c r="G394" s="598"/>
      <c r="H394" s="599"/>
      <c r="I394" s="211"/>
    </row>
    <row r="395" spans="2:9" x14ac:dyDescent="0.2">
      <c r="B395" s="597"/>
      <c r="C395" s="598"/>
      <c r="D395" s="598"/>
      <c r="E395" s="598"/>
      <c r="F395" s="598"/>
      <c r="G395" s="598"/>
      <c r="H395" s="599"/>
      <c r="I395" s="211"/>
    </row>
    <row r="396" spans="2:9" x14ac:dyDescent="0.2">
      <c r="B396" s="597"/>
      <c r="C396" s="598"/>
      <c r="D396" s="598"/>
      <c r="E396" s="598"/>
      <c r="F396" s="598"/>
      <c r="G396" s="598"/>
      <c r="H396" s="599"/>
      <c r="I396" s="211"/>
    </row>
    <row r="397" spans="2:9" x14ac:dyDescent="0.2">
      <c r="B397" s="597"/>
      <c r="C397" s="598"/>
      <c r="D397" s="598"/>
      <c r="E397" s="598"/>
      <c r="F397" s="598"/>
      <c r="G397" s="598"/>
      <c r="H397" s="599"/>
      <c r="I397" s="211"/>
    </row>
    <row r="398" spans="2:9" x14ac:dyDescent="0.2">
      <c r="B398" s="597"/>
      <c r="C398" s="598"/>
      <c r="D398" s="598"/>
      <c r="E398" s="598"/>
      <c r="F398" s="598"/>
      <c r="G398" s="598"/>
      <c r="H398" s="599"/>
      <c r="I398" s="211"/>
    </row>
    <row r="399" spans="2:9" x14ac:dyDescent="0.2">
      <c r="B399" s="600"/>
      <c r="C399" s="601"/>
      <c r="D399" s="601"/>
      <c r="E399" s="601"/>
      <c r="F399" s="601"/>
      <c r="G399" s="601"/>
      <c r="H399" s="602"/>
      <c r="I399" s="211"/>
    </row>
    <row r="402" spans="2:10" x14ac:dyDescent="0.2">
      <c r="B402" s="594" t="s">
        <v>285</v>
      </c>
      <c r="C402" s="595"/>
      <c r="D402" s="595"/>
      <c r="E402" s="595"/>
      <c r="F402" s="595"/>
      <c r="G402" s="595"/>
      <c r="H402" s="596"/>
      <c r="I402" s="211"/>
      <c r="J402" s="209"/>
    </row>
    <row r="403" spans="2:10" x14ac:dyDescent="0.2">
      <c r="B403" s="597"/>
      <c r="C403" s="598"/>
      <c r="D403" s="598"/>
      <c r="E403" s="598"/>
      <c r="F403" s="598"/>
      <c r="G403" s="598"/>
      <c r="H403" s="599"/>
      <c r="I403" s="211"/>
      <c r="J403" s="207"/>
    </row>
    <row r="404" spans="2:10" x14ac:dyDescent="0.2">
      <c r="B404" s="597"/>
      <c r="C404" s="598"/>
      <c r="D404" s="598"/>
      <c r="E404" s="598"/>
      <c r="F404" s="598"/>
      <c r="G404" s="598"/>
      <c r="H404" s="599"/>
      <c r="I404" s="211"/>
      <c r="J404" s="207"/>
    </row>
    <row r="405" spans="2:10" x14ac:dyDescent="0.2">
      <c r="B405" s="597"/>
      <c r="C405" s="598"/>
      <c r="D405" s="598"/>
      <c r="E405" s="598"/>
      <c r="F405" s="598"/>
      <c r="G405" s="598"/>
      <c r="H405" s="599"/>
      <c r="I405" s="211"/>
      <c r="J405" s="207"/>
    </row>
    <row r="406" spans="2:10" x14ac:dyDescent="0.2">
      <c r="B406" s="597"/>
      <c r="C406" s="598"/>
      <c r="D406" s="598"/>
      <c r="E406" s="598"/>
      <c r="F406" s="598"/>
      <c r="G406" s="598"/>
      <c r="H406" s="599"/>
      <c r="I406" s="211"/>
    </row>
    <row r="407" spans="2:10" x14ac:dyDescent="0.2">
      <c r="B407" s="597"/>
      <c r="C407" s="598"/>
      <c r="D407" s="598"/>
      <c r="E407" s="598"/>
      <c r="F407" s="598"/>
      <c r="G407" s="598"/>
      <c r="H407" s="599"/>
      <c r="I407" s="211"/>
    </row>
    <row r="408" spans="2:10" x14ac:dyDescent="0.2">
      <c r="B408" s="597"/>
      <c r="C408" s="598"/>
      <c r="D408" s="598"/>
      <c r="E408" s="598"/>
      <c r="F408" s="598"/>
      <c r="G408" s="598"/>
      <c r="H408" s="599"/>
      <c r="I408" s="211"/>
    </row>
    <row r="409" spans="2:10" x14ac:dyDescent="0.2">
      <c r="B409" s="597"/>
      <c r="C409" s="598"/>
      <c r="D409" s="598"/>
      <c r="E409" s="598"/>
      <c r="F409" s="598"/>
      <c r="G409" s="598"/>
      <c r="H409" s="599"/>
      <c r="I409" s="211"/>
    </row>
    <row r="410" spans="2:10" x14ac:dyDescent="0.2">
      <c r="B410" s="597"/>
      <c r="C410" s="598"/>
      <c r="D410" s="598"/>
      <c r="E410" s="598"/>
      <c r="F410" s="598"/>
      <c r="G410" s="598"/>
      <c r="H410" s="599"/>
      <c r="I410" s="211"/>
    </row>
    <row r="411" spans="2:10" x14ac:dyDescent="0.2">
      <c r="B411" s="597"/>
      <c r="C411" s="598"/>
      <c r="D411" s="598"/>
      <c r="E411" s="598"/>
      <c r="F411" s="598"/>
      <c r="G411" s="598"/>
      <c r="H411" s="599"/>
      <c r="I411" s="211"/>
    </row>
    <row r="412" spans="2:10" x14ac:dyDescent="0.2">
      <c r="B412" s="597"/>
      <c r="C412" s="598"/>
      <c r="D412" s="598"/>
      <c r="E412" s="598"/>
      <c r="F412" s="598"/>
      <c r="G412" s="598"/>
      <c r="H412" s="599"/>
      <c r="I412" s="211"/>
    </row>
    <row r="413" spans="2:10" x14ac:dyDescent="0.2">
      <c r="B413" s="597"/>
      <c r="C413" s="598"/>
      <c r="D413" s="598"/>
      <c r="E413" s="598"/>
      <c r="F413" s="598"/>
      <c r="G413" s="598"/>
      <c r="H413" s="599"/>
      <c r="I413" s="211"/>
    </row>
    <row r="414" spans="2:10" x14ac:dyDescent="0.2">
      <c r="B414" s="597"/>
      <c r="C414" s="598"/>
      <c r="D414" s="598"/>
      <c r="E414" s="598"/>
      <c r="F414" s="598"/>
      <c r="G414" s="598"/>
      <c r="H414" s="599"/>
      <c r="I414" s="211"/>
    </row>
    <row r="415" spans="2:10" x14ac:dyDescent="0.2">
      <c r="B415" s="597"/>
      <c r="C415" s="598"/>
      <c r="D415" s="598"/>
      <c r="E415" s="598"/>
      <c r="F415" s="598"/>
      <c r="G415" s="598"/>
      <c r="H415" s="599"/>
      <c r="I415" s="211"/>
    </row>
    <row r="416" spans="2:10" x14ac:dyDescent="0.2">
      <c r="B416" s="597"/>
      <c r="C416" s="598"/>
      <c r="D416" s="598"/>
      <c r="E416" s="598"/>
      <c r="F416" s="598"/>
      <c r="G416" s="598"/>
      <c r="H416" s="599"/>
      <c r="I416" s="211"/>
    </row>
    <row r="417" spans="2:10" x14ac:dyDescent="0.2">
      <c r="B417" s="597"/>
      <c r="C417" s="598"/>
      <c r="D417" s="598"/>
      <c r="E417" s="598"/>
      <c r="F417" s="598"/>
      <c r="G417" s="598"/>
      <c r="H417" s="599"/>
      <c r="I417" s="211"/>
    </row>
    <row r="418" spans="2:10" x14ac:dyDescent="0.2">
      <c r="B418" s="597"/>
      <c r="C418" s="598"/>
      <c r="D418" s="598"/>
      <c r="E418" s="598"/>
      <c r="F418" s="598"/>
      <c r="G418" s="598"/>
      <c r="H418" s="599"/>
      <c r="I418" s="211"/>
    </row>
    <row r="419" spans="2:10" x14ac:dyDescent="0.2">
      <c r="B419" s="597"/>
      <c r="C419" s="598"/>
      <c r="D419" s="598"/>
      <c r="E419" s="598"/>
      <c r="F419" s="598"/>
      <c r="G419" s="598"/>
      <c r="H419" s="599"/>
      <c r="I419" s="211"/>
    </row>
    <row r="420" spans="2:10" x14ac:dyDescent="0.2">
      <c r="B420" s="600"/>
      <c r="C420" s="601"/>
      <c r="D420" s="601"/>
      <c r="E420" s="601"/>
      <c r="F420" s="601"/>
      <c r="G420" s="601"/>
      <c r="H420" s="602"/>
      <c r="I420" s="211"/>
    </row>
    <row r="423" spans="2:10" x14ac:dyDescent="0.2">
      <c r="B423" s="594" t="s">
        <v>285</v>
      </c>
      <c r="C423" s="595"/>
      <c r="D423" s="595"/>
      <c r="E423" s="595"/>
      <c r="F423" s="595"/>
      <c r="G423" s="595"/>
      <c r="H423" s="596"/>
      <c r="I423" s="211"/>
      <c r="J423" s="209"/>
    </row>
    <row r="424" spans="2:10" x14ac:dyDescent="0.2">
      <c r="B424" s="597"/>
      <c r="C424" s="598"/>
      <c r="D424" s="598"/>
      <c r="E424" s="598"/>
      <c r="F424" s="598"/>
      <c r="G424" s="598"/>
      <c r="H424" s="599"/>
      <c r="I424" s="211"/>
      <c r="J424" s="207"/>
    </row>
    <row r="425" spans="2:10" x14ac:dyDescent="0.2">
      <c r="B425" s="597"/>
      <c r="C425" s="598"/>
      <c r="D425" s="598"/>
      <c r="E425" s="598"/>
      <c r="F425" s="598"/>
      <c r="G425" s="598"/>
      <c r="H425" s="599"/>
      <c r="I425" s="211"/>
      <c r="J425" s="207"/>
    </row>
    <row r="426" spans="2:10" x14ac:dyDescent="0.2">
      <c r="B426" s="597"/>
      <c r="C426" s="598"/>
      <c r="D426" s="598"/>
      <c r="E426" s="598"/>
      <c r="F426" s="598"/>
      <c r="G426" s="598"/>
      <c r="H426" s="599"/>
      <c r="I426" s="211"/>
      <c r="J426" s="207"/>
    </row>
    <row r="427" spans="2:10" x14ac:dyDescent="0.2">
      <c r="B427" s="597"/>
      <c r="C427" s="598"/>
      <c r="D427" s="598"/>
      <c r="E427" s="598"/>
      <c r="F427" s="598"/>
      <c r="G427" s="598"/>
      <c r="H427" s="599"/>
      <c r="I427" s="211"/>
    </row>
    <row r="428" spans="2:10" x14ac:dyDescent="0.2">
      <c r="B428" s="597"/>
      <c r="C428" s="598"/>
      <c r="D428" s="598"/>
      <c r="E428" s="598"/>
      <c r="F428" s="598"/>
      <c r="G428" s="598"/>
      <c r="H428" s="599"/>
      <c r="I428" s="211"/>
    </row>
    <row r="429" spans="2:10" x14ac:dyDescent="0.2">
      <c r="B429" s="597"/>
      <c r="C429" s="598"/>
      <c r="D429" s="598"/>
      <c r="E429" s="598"/>
      <c r="F429" s="598"/>
      <c r="G429" s="598"/>
      <c r="H429" s="599"/>
      <c r="I429" s="211"/>
    </row>
    <row r="430" spans="2:10" x14ac:dyDescent="0.2">
      <c r="B430" s="597"/>
      <c r="C430" s="598"/>
      <c r="D430" s="598"/>
      <c r="E430" s="598"/>
      <c r="F430" s="598"/>
      <c r="G430" s="598"/>
      <c r="H430" s="599"/>
      <c r="I430" s="211"/>
    </row>
    <row r="431" spans="2:10" x14ac:dyDescent="0.2">
      <c r="B431" s="597"/>
      <c r="C431" s="598"/>
      <c r="D431" s="598"/>
      <c r="E431" s="598"/>
      <c r="F431" s="598"/>
      <c r="G431" s="598"/>
      <c r="H431" s="599"/>
      <c r="I431" s="211"/>
    </row>
    <row r="432" spans="2:10" x14ac:dyDescent="0.2">
      <c r="B432" s="597"/>
      <c r="C432" s="598"/>
      <c r="D432" s="598"/>
      <c r="E432" s="598"/>
      <c r="F432" s="598"/>
      <c r="G432" s="598"/>
      <c r="H432" s="599"/>
      <c r="I432" s="211"/>
    </row>
    <row r="433" spans="2:10" x14ac:dyDescent="0.2">
      <c r="B433" s="597"/>
      <c r="C433" s="598"/>
      <c r="D433" s="598"/>
      <c r="E433" s="598"/>
      <c r="F433" s="598"/>
      <c r="G433" s="598"/>
      <c r="H433" s="599"/>
      <c r="I433" s="211"/>
    </row>
    <row r="434" spans="2:10" x14ac:dyDescent="0.2">
      <c r="B434" s="597"/>
      <c r="C434" s="598"/>
      <c r="D434" s="598"/>
      <c r="E434" s="598"/>
      <c r="F434" s="598"/>
      <c r="G434" s="598"/>
      <c r="H434" s="599"/>
      <c r="I434" s="211"/>
    </row>
    <row r="435" spans="2:10" x14ac:dyDescent="0.2">
      <c r="B435" s="597"/>
      <c r="C435" s="598"/>
      <c r="D435" s="598"/>
      <c r="E435" s="598"/>
      <c r="F435" s="598"/>
      <c r="G435" s="598"/>
      <c r="H435" s="599"/>
      <c r="I435" s="211"/>
    </row>
    <row r="436" spans="2:10" x14ac:dyDescent="0.2">
      <c r="B436" s="597"/>
      <c r="C436" s="598"/>
      <c r="D436" s="598"/>
      <c r="E436" s="598"/>
      <c r="F436" s="598"/>
      <c r="G436" s="598"/>
      <c r="H436" s="599"/>
      <c r="I436" s="211"/>
    </row>
    <row r="437" spans="2:10" x14ac:dyDescent="0.2">
      <c r="B437" s="597"/>
      <c r="C437" s="598"/>
      <c r="D437" s="598"/>
      <c r="E437" s="598"/>
      <c r="F437" s="598"/>
      <c r="G437" s="598"/>
      <c r="H437" s="599"/>
      <c r="I437" s="211"/>
    </row>
    <row r="438" spans="2:10" x14ac:dyDescent="0.2">
      <c r="B438" s="597"/>
      <c r="C438" s="598"/>
      <c r="D438" s="598"/>
      <c r="E438" s="598"/>
      <c r="F438" s="598"/>
      <c r="G438" s="598"/>
      <c r="H438" s="599"/>
      <c r="I438" s="211"/>
    </row>
    <row r="439" spans="2:10" x14ac:dyDescent="0.2">
      <c r="B439" s="597"/>
      <c r="C439" s="598"/>
      <c r="D439" s="598"/>
      <c r="E439" s="598"/>
      <c r="F439" s="598"/>
      <c r="G439" s="598"/>
      <c r="H439" s="599"/>
      <c r="I439" s="211"/>
    </row>
    <row r="440" spans="2:10" x14ac:dyDescent="0.2">
      <c r="B440" s="597"/>
      <c r="C440" s="598"/>
      <c r="D440" s="598"/>
      <c r="E440" s="598"/>
      <c r="F440" s="598"/>
      <c r="G440" s="598"/>
      <c r="H440" s="599"/>
      <c r="I440" s="211"/>
    </row>
    <row r="441" spans="2:10" x14ac:dyDescent="0.2">
      <c r="B441" s="600"/>
      <c r="C441" s="601"/>
      <c r="D441" s="601"/>
      <c r="E441" s="601"/>
      <c r="F441" s="601"/>
      <c r="G441" s="601"/>
      <c r="H441" s="602"/>
      <c r="I441" s="211"/>
    </row>
    <row r="443" spans="2:10" x14ac:dyDescent="0.2">
      <c r="B443" s="594" t="s">
        <v>285</v>
      </c>
      <c r="C443" s="595"/>
      <c r="D443" s="595"/>
      <c r="E443" s="595"/>
      <c r="F443" s="595"/>
      <c r="G443" s="595"/>
      <c r="H443" s="596"/>
      <c r="I443" s="211"/>
      <c r="J443" s="209"/>
    </row>
    <row r="444" spans="2:10" x14ac:dyDescent="0.2">
      <c r="B444" s="597"/>
      <c r="C444" s="598"/>
      <c r="D444" s="598"/>
      <c r="E444" s="598"/>
      <c r="F444" s="598"/>
      <c r="G444" s="598"/>
      <c r="H444" s="599"/>
      <c r="I444" s="211"/>
      <c r="J444" s="207"/>
    </row>
    <row r="445" spans="2:10" x14ac:dyDescent="0.2">
      <c r="B445" s="597"/>
      <c r="C445" s="598"/>
      <c r="D445" s="598"/>
      <c r="E445" s="598"/>
      <c r="F445" s="598"/>
      <c r="G445" s="598"/>
      <c r="H445" s="599"/>
      <c r="I445" s="211"/>
      <c r="J445" s="207"/>
    </row>
    <row r="446" spans="2:10" x14ac:dyDescent="0.2">
      <c r="B446" s="597"/>
      <c r="C446" s="598"/>
      <c r="D446" s="598"/>
      <c r="E446" s="598"/>
      <c r="F446" s="598"/>
      <c r="G446" s="598"/>
      <c r="H446" s="599"/>
      <c r="I446" s="211"/>
      <c r="J446" s="207"/>
    </row>
    <row r="447" spans="2:10" x14ac:dyDescent="0.2">
      <c r="B447" s="597"/>
      <c r="C447" s="598"/>
      <c r="D447" s="598"/>
      <c r="E447" s="598"/>
      <c r="F447" s="598"/>
      <c r="G447" s="598"/>
      <c r="H447" s="599"/>
      <c r="I447" s="211"/>
    </row>
    <row r="448" spans="2:10" x14ac:dyDescent="0.2">
      <c r="B448" s="597"/>
      <c r="C448" s="598"/>
      <c r="D448" s="598"/>
      <c r="E448" s="598"/>
      <c r="F448" s="598"/>
      <c r="G448" s="598"/>
      <c r="H448" s="599"/>
      <c r="I448" s="211"/>
    </row>
    <row r="449" spans="2:10" x14ac:dyDescent="0.2">
      <c r="B449" s="597"/>
      <c r="C449" s="598"/>
      <c r="D449" s="598"/>
      <c r="E449" s="598"/>
      <c r="F449" s="598"/>
      <c r="G449" s="598"/>
      <c r="H449" s="599"/>
      <c r="I449" s="211"/>
    </row>
    <row r="450" spans="2:10" x14ac:dyDescent="0.2">
      <c r="B450" s="597"/>
      <c r="C450" s="598"/>
      <c r="D450" s="598"/>
      <c r="E450" s="598"/>
      <c r="F450" s="598"/>
      <c r="G450" s="598"/>
      <c r="H450" s="599"/>
      <c r="I450" s="211"/>
    </row>
    <row r="451" spans="2:10" x14ac:dyDescent="0.2">
      <c r="B451" s="597"/>
      <c r="C451" s="598"/>
      <c r="D451" s="598"/>
      <c r="E451" s="598"/>
      <c r="F451" s="598"/>
      <c r="G451" s="598"/>
      <c r="H451" s="599"/>
      <c r="I451" s="211"/>
    </row>
    <row r="452" spans="2:10" x14ac:dyDescent="0.2">
      <c r="B452" s="597"/>
      <c r="C452" s="598"/>
      <c r="D452" s="598"/>
      <c r="E452" s="598"/>
      <c r="F452" s="598"/>
      <c r="G452" s="598"/>
      <c r="H452" s="599"/>
      <c r="I452" s="211"/>
    </row>
    <row r="453" spans="2:10" x14ac:dyDescent="0.2">
      <c r="B453" s="597"/>
      <c r="C453" s="598"/>
      <c r="D453" s="598"/>
      <c r="E453" s="598"/>
      <c r="F453" s="598"/>
      <c r="G453" s="598"/>
      <c r="H453" s="599"/>
      <c r="I453" s="211"/>
    </row>
    <row r="454" spans="2:10" x14ac:dyDescent="0.2">
      <c r="B454" s="597"/>
      <c r="C454" s="598"/>
      <c r="D454" s="598"/>
      <c r="E454" s="598"/>
      <c r="F454" s="598"/>
      <c r="G454" s="598"/>
      <c r="H454" s="599"/>
      <c r="I454" s="211"/>
    </row>
    <row r="455" spans="2:10" x14ac:dyDescent="0.2">
      <c r="B455" s="597"/>
      <c r="C455" s="598"/>
      <c r="D455" s="598"/>
      <c r="E455" s="598"/>
      <c r="F455" s="598"/>
      <c r="G455" s="598"/>
      <c r="H455" s="599"/>
      <c r="I455" s="211"/>
    </row>
    <row r="456" spans="2:10" x14ac:dyDescent="0.2">
      <c r="B456" s="597"/>
      <c r="C456" s="598"/>
      <c r="D456" s="598"/>
      <c r="E456" s="598"/>
      <c r="F456" s="598"/>
      <c r="G456" s="598"/>
      <c r="H456" s="599"/>
      <c r="I456" s="211"/>
    </row>
    <row r="457" spans="2:10" x14ac:dyDescent="0.2">
      <c r="B457" s="597"/>
      <c r="C457" s="598"/>
      <c r="D457" s="598"/>
      <c r="E457" s="598"/>
      <c r="F457" s="598"/>
      <c r="G457" s="598"/>
      <c r="H457" s="599"/>
      <c r="I457" s="211"/>
    </row>
    <row r="458" spans="2:10" x14ac:dyDescent="0.2">
      <c r="B458" s="597"/>
      <c r="C458" s="598"/>
      <c r="D458" s="598"/>
      <c r="E458" s="598"/>
      <c r="F458" s="598"/>
      <c r="G458" s="598"/>
      <c r="H458" s="599"/>
      <c r="I458" s="211"/>
    </row>
    <row r="459" spans="2:10" x14ac:dyDescent="0.2">
      <c r="B459" s="597"/>
      <c r="C459" s="598"/>
      <c r="D459" s="598"/>
      <c r="E459" s="598"/>
      <c r="F459" s="598"/>
      <c r="G459" s="598"/>
      <c r="H459" s="599"/>
      <c r="I459" s="211"/>
    </row>
    <row r="460" spans="2:10" x14ac:dyDescent="0.2">
      <c r="B460" s="597"/>
      <c r="C460" s="598"/>
      <c r="D460" s="598"/>
      <c r="E460" s="598"/>
      <c r="F460" s="598"/>
      <c r="G460" s="598"/>
      <c r="H460" s="599"/>
      <c r="I460" s="211"/>
    </row>
    <row r="461" spans="2:10" x14ac:dyDescent="0.2">
      <c r="B461" s="600"/>
      <c r="C461" s="601"/>
      <c r="D461" s="601"/>
      <c r="E461" s="601"/>
      <c r="F461" s="601"/>
      <c r="G461" s="601"/>
      <c r="H461" s="602"/>
      <c r="I461" s="211"/>
    </row>
    <row r="464" spans="2:10" x14ac:dyDescent="0.2">
      <c r="B464" s="594" t="s">
        <v>285</v>
      </c>
      <c r="C464" s="595"/>
      <c r="D464" s="595"/>
      <c r="E464" s="595"/>
      <c r="F464" s="595"/>
      <c r="G464" s="595"/>
      <c r="H464" s="596"/>
      <c r="I464" s="211"/>
      <c r="J464" s="209"/>
    </row>
    <row r="465" spans="2:10" x14ac:dyDescent="0.2">
      <c r="B465" s="597"/>
      <c r="C465" s="598"/>
      <c r="D465" s="598"/>
      <c r="E465" s="598"/>
      <c r="F465" s="598"/>
      <c r="G465" s="598"/>
      <c r="H465" s="599"/>
      <c r="I465" s="211"/>
      <c r="J465" s="207"/>
    </row>
    <row r="466" spans="2:10" x14ac:dyDescent="0.2">
      <c r="B466" s="597"/>
      <c r="C466" s="598"/>
      <c r="D466" s="598"/>
      <c r="E466" s="598"/>
      <c r="F466" s="598"/>
      <c r="G466" s="598"/>
      <c r="H466" s="599"/>
      <c r="I466" s="211"/>
      <c r="J466" s="207"/>
    </row>
    <row r="467" spans="2:10" x14ac:dyDescent="0.2">
      <c r="B467" s="597"/>
      <c r="C467" s="598"/>
      <c r="D467" s="598"/>
      <c r="E467" s="598"/>
      <c r="F467" s="598"/>
      <c r="G467" s="598"/>
      <c r="H467" s="599"/>
      <c r="I467" s="211"/>
      <c r="J467" s="207"/>
    </row>
    <row r="468" spans="2:10" x14ac:dyDescent="0.2">
      <c r="B468" s="597"/>
      <c r="C468" s="598"/>
      <c r="D468" s="598"/>
      <c r="E468" s="598"/>
      <c r="F468" s="598"/>
      <c r="G468" s="598"/>
      <c r="H468" s="599"/>
      <c r="I468" s="211"/>
    </row>
    <row r="469" spans="2:10" x14ac:dyDescent="0.2">
      <c r="B469" s="597"/>
      <c r="C469" s="598"/>
      <c r="D469" s="598"/>
      <c r="E469" s="598"/>
      <c r="F469" s="598"/>
      <c r="G469" s="598"/>
      <c r="H469" s="599"/>
      <c r="I469" s="211"/>
    </row>
    <row r="470" spans="2:10" x14ac:dyDescent="0.2">
      <c r="B470" s="597"/>
      <c r="C470" s="598"/>
      <c r="D470" s="598"/>
      <c r="E470" s="598"/>
      <c r="F470" s="598"/>
      <c r="G470" s="598"/>
      <c r="H470" s="599"/>
      <c r="I470" s="211"/>
    </row>
    <row r="471" spans="2:10" x14ac:dyDescent="0.2">
      <c r="B471" s="597"/>
      <c r="C471" s="598"/>
      <c r="D471" s="598"/>
      <c r="E471" s="598"/>
      <c r="F471" s="598"/>
      <c r="G471" s="598"/>
      <c r="H471" s="599"/>
      <c r="I471" s="211"/>
    </row>
    <row r="472" spans="2:10" x14ac:dyDescent="0.2">
      <c r="B472" s="597"/>
      <c r="C472" s="598"/>
      <c r="D472" s="598"/>
      <c r="E472" s="598"/>
      <c r="F472" s="598"/>
      <c r="G472" s="598"/>
      <c r="H472" s="599"/>
      <c r="I472" s="211"/>
    </row>
    <row r="473" spans="2:10" x14ac:dyDescent="0.2">
      <c r="B473" s="597"/>
      <c r="C473" s="598"/>
      <c r="D473" s="598"/>
      <c r="E473" s="598"/>
      <c r="F473" s="598"/>
      <c r="G473" s="598"/>
      <c r="H473" s="599"/>
      <c r="I473" s="211"/>
    </row>
    <row r="474" spans="2:10" x14ac:dyDescent="0.2">
      <c r="B474" s="597"/>
      <c r="C474" s="598"/>
      <c r="D474" s="598"/>
      <c r="E474" s="598"/>
      <c r="F474" s="598"/>
      <c r="G474" s="598"/>
      <c r="H474" s="599"/>
      <c r="I474" s="211"/>
    </row>
    <row r="475" spans="2:10" x14ac:dyDescent="0.2">
      <c r="B475" s="597"/>
      <c r="C475" s="598"/>
      <c r="D475" s="598"/>
      <c r="E475" s="598"/>
      <c r="F475" s="598"/>
      <c r="G475" s="598"/>
      <c r="H475" s="599"/>
      <c r="I475" s="211"/>
    </row>
    <row r="476" spans="2:10" x14ac:dyDescent="0.2">
      <c r="B476" s="597"/>
      <c r="C476" s="598"/>
      <c r="D476" s="598"/>
      <c r="E476" s="598"/>
      <c r="F476" s="598"/>
      <c r="G476" s="598"/>
      <c r="H476" s="599"/>
      <c r="I476" s="211"/>
    </row>
    <row r="477" spans="2:10" x14ac:dyDescent="0.2">
      <c r="B477" s="597"/>
      <c r="C477" s="598"/>
      <c r="D477" s="598"/>
      <c r="E477" s="598"/>
      <c r="F477" s="598"/>
      <c r="G477" s="598"/>
      <c r="H477" s="599"/>
      <c r="I477" s="211"/>
    </row>
    <row r="478" spans="2:10" x14ac:dyDescent="0.2">
      <c r="B478" s="597"/>
      <c r="C478" s="598"/>
      <c r="D478" s="598"/>
      <c r="E478" s="598"/>
      <c r="F478" s="598"/>
      <c r="G478" s="598"/>
      <c r="H478" s="599"/>
      <c r="I478" s="211"/>
    </row>
    <row r="479" spans="2:10" x14ac:dyDescent="0.2">
      <c r="B479" s="597"/>
      <c r="C479" s="598"/>
      <c r="D479" s="598"/>
      <c r="E479" s="598"/>
      <c r="F479" s="598"/>
      <c r="G479" s="598"/>
      <c r="H479" s="599"/>
      <c r="I479" s="211"/>
    </row>
    <row r="480" spans="2:10" x14ac:dyDescent="0.2">
      <c r="B480" s="597"/>
      <c r="C480" s="598"/>
      <c r="D480" s="598"/>
      <c r="E480" s="598"/>
      <c r="F480" s="598"/>
      <c r="G480" s="598"/>
      <c r="H480" s="599"/>
      <c r="I480" s="211"/>
    </row>
    <row r="481" spans="2:10" x14ac:dyDescent="0.2">
      <c r="B481" s="597"/>
      <c r="C481" s="598"/>
      <c r="D481" s="598"/>
      <c r="E481" s="598"/>
      <c r="F481" s="598"/>
      <c r="G481" s="598"/>
      <c r="H481" s="599"/>
      <c r="I481" s="211"/>
    </row>
    <row r="482" spans="2:10" x14ac:dyDescent="0.2">
      <c r="B482" s="600"/>
      <c r="C482" s="601"/>
      <c r="D482" s="601"/>
      <c r="E482" s="601"/>
      <c r="F482" s="601"/>
      <c r="G482" s="601"/>
      <c r="H482" s="602"/>
      <c r="I482" s="211"/>
    </row>
    <row r="485" spans="2:10" x14ac:dyDescent="0.2">
      <c r="B485" s="594" t="s">
        <v>285</v>
      </c>
      <c r="C485" s="595"/>
      <c r="D485" s="595"/>
      <c r="E485" s="595"/>
      <c r="F485" s="595"/>
      <c r="G485" s="595"/>
      <c r="H485" s="596"/>
      <c r="I485" s="211"/>
      <c r="J485" s="209"/>
    </row>
    <row r="486" spans="2:10" x14ac:dyDescent="0.2">
      <c r="B486" s="597"/>
      <c r="C486" s="598"/>
      <c r="D486" s="598"/>
      <c r="E486" s="598"/>
      <c r="F486" s="598"/>
      <c r="G486" s="598"/>
      <c r="H486" s="599"/>
      <c r="I486" s="211"/>
      <c r="J486" s="207"/>
    </row>
    <row r="487" spans="2:10" x14ac:dyDescent="0.2">
      <c r="B487" s="597"/>
      <c r="C487" s="598"/>
      <c r="D487" s="598"/>
      <c r="E487" s="598"/>
      <c r="F487" s="598"/>
      <c r="G487" s="598"/>
      <c r="H487" s="599"/>
      <c r="I487" s="211"/>
      <c r="J487" s="207"/>
    </row>
    <row r="488" spans="2:10" x14ac:dyDescent="0.2">
      <c r="B488" s="597"/>
      <c r="C488" s="598"/>
      <c r="D488" s="598"/>
      <c r="E488" s="598"/>
      <c r="F488" s="598"/>
      <c r="G488" s="598"/>
      <c r="H488" s="599"/>
      <c r="I488" s="211"/>
      <c r="J488" s="207"/>
    </row>
    <row r="489" spans="2:10" x14ac:dyDescent="0.2">
      <c r="B489" s="597"/>
      <c r="C489" s="598"/>
      <c r="D489" s="598"/>
      <c r="E489" s="598"/>
      <c r="F489" s="598"/>
      <c r="G489" s="598"/>
      <c r="H489" s="599"/>
      <c r="I489" s="211"/>
    </row>
    <row r="490" spans="2:10" x14ac:dyDescent="0.2">
      <c r="B490" s="597"/>
      <c r="C490" s="598"/>
      <c r="D490" s="598"/>
      <c r="E490" s="598"/>
      <c r="F490" s="598"/>
      <c r="G490" s="598"/>
      <c r="H490" s="599"/>
      <c r="I490" s="211"/>
    </row>
    <row r="491" spans="2:10" x14ac:dyDescent="0.2">
      <c r="B491" s="597"/>
      <c r="C491" s="598"/>
      <c r="D491" s="598"/>
      <c r="E491" s="598"/>
      <c r="F491" s="598"/>
      <c r="G491" s="598"/>
      <c r="H491" s="599"/>
      <c r="I491" s="211"/>
    </row>
    <row r="492" spans="2:10" x14ac:dyDescent="0.2">
      <c r="B492" s="597"/>
      <c r="C492" s="598"/>
      <c r="D492" s="598"/>
      <c r="E492" s="598"/>
      <c r="F492" s="598"/>
      <c r="G492" s="598"/>
      <c r="H492" s="599"/>
      <c r="I492" s="211"/>
    </row>
    <row r="493" spans="2:10" x14ac:dyDescent="0.2">
      <c r="B493" s="597"/>
      <c r="C493" s="598"/>
      <c r="D493" s="598"/>
      <c r="E493" s="598"/>
      <c r="F493" s="598"/>
      <c r="G493" s="598"/>
      <c r="H493" s="599"/>
      <c r="I493" s="211"/>
    </row>
    <row r="494" spans="2:10" x14ac:dyDescent="0.2">
      <c r="B494" s="597"/>
      <c r="C494" s="598"/>
      <c r="D494" s="598"/>
      <c r="E494" s="598"/>
      <c r="F494" s="598"/>
      <c r="G494" s="598"/>
      <c r="H494" s="599"/>
      <c r="I494" s="211"/>
    </row>
    <row r="495" spans="2:10" x14ac:dyDescent="0.2">
      <c r="B495" s="597"/>
      <c r="C495" s="598"/>
      <c r="D495" s="598"/>
      <c r="E495" s="598"/>
      <c r="F495" s="598"/>
      <c r="G495" s="598"/>
      <c r="H495" s="599"/>
      <c r="I495" s="211"/>
    </row>
    <row r="496" spans="2:10" x14ac:dyDescent="0.2">
      <c r="B496" s="597"/>
      <c r="C496" s="598"/>
      <c r="D496" s="598"/>
      <c r="E496" s="598"/>
      <c r="F496" s="598"/>
      <c r="G496" s="598"/>
      <c r="H496" s="599"/>
      <c r="I496" s="211"/>
    </row>
    <row r="497" spans="2:10" x14ac:dyDescent="0.2">
      <c r="B497" s="597"/>
      <c r="C497" s="598"/>
      <c r="D497" s="598"/>
      <c r="E497" s="598"/>
      <c r="F497" s="598"/>
      <c r="G497" s="598"/>
      <c r="H497" s="599"/>
      <c r="I497" s="211"/>
    </row>
    <row r="498" spans="2:10" x14ac:dyDescent="0.2">
      <c r="B498" s="597"/>
      <c r="C498" s="598"/>
      <c r="D498" s="598"/>
      <c r="E498" s="598"/>
      <c r="F498" s="598"/>
      <c r="G498" s="598"/>
      <c r="H498" s="599"/>
      <c r="I498" s="211"/>
    </row>
    <row r="499" spans="2:10" x14ac:dyDescent="0.2">
      <c r="B499" s="597"/>
      <c r="C499" s="598"/>
      <c r="D499" s="598"/>
      <c r="E499" s="598"/>
      <c r="F499" s="598"/>
      <c r="G499" s="598"/>
      <c r="H499" s="599"/>
      <c r="I499" s="211"/>
    </row>
    <row r="500" spans="2:10" x14ac:dyDescent="0.2">
      <c r="B500" s="597"/>
      <c r="C500" s="598"/>
      <c r="D500" s="598"/>
      <c r="E500" s="598"/>
      <c r="F500" s="598"/>
      <c r="G500" s="598"/>
      <c r="H500" s="599"/>
      <c r="I500" s="211"/>
    </row>
    <row r="501" spans="2:10" x14ac:dyDescent="0.2">
      <c r="B501" s="597"/>
      <c r="C501" s="598"/>
      <c r="D501" s="598"/>
      <c r="E501" s="598"/>
      <c r="F501" s="598"/>
      <c r="G501" s="598"/>
      <c r="H501" s="599"/>
      <c r="I501" s="211"/>
    </row>
    <row r="502" spans="2:10" x14ac:dyDescent="0.2">
      <c r="B502" s="597"/>
      <c r="C502" s="598"/>
      <c r="D502" s="598"/>
      <c r="E502" s="598"/>
      <c r="F502" s="598"/>
      <c r="G502" s="598"/>
      <c r="H502" s="599"/>
      <c r="I502" s="211"/>
    </row>
    <row r="503" spans="2:10" x14ac:dyDescent="0.2">
      <c r="B503" s="600"/>
      <c r="C503" s="601"/>
      <c r="D503" s="601"/>
      <c r="E503" s="601"/>
      <c r="F503" s="601"/>
      <c r="G503" s="601"/>
      <c r="H503" s="602"/>
      <c r="I503" s="211"/>
    </row>
    <row r="505" spans="2:10" x14ac:dyDescent="0.2">
      <c r="B505" s="594" t="s">
        <v>285</v>
      </c>
      <c r="C505" s="595"/>
      <c r="D505" s="595"/>
      <c r="E505" s="595"/>
      <c r="F505" s="595"/>
      <c r="G505" s="595"/>
      <c r="H505" s="596"/>
      <c r="I505" s="211"/>
      <c r="J505" s="209"/>
    </row>
    <row r="506" spans="2:10" x14ac:dyDescent="0.2">
      <c r="B506" s="597"/>
      <c r="C506" s="598"/>
      <c r="D506" s="598"/>
      <c r="E506" s="598"/>
      <c r="F506" s="598"/>
      <c r="G506" s="598"/>
      <c r="H506" s="599"/>
      <c r="I506" s="211"/>
      <c r="J506" s="207"/>
    </row>
    <row r="507" spans="2:10" x14ac:dyDescent="0.2">
      <c r="B507" s="597"/>
      <c r="C507" s="598"/>
      <c r="D507" s="598"/>
      <c r="E507" s="598"/>
      <c r="F507" s="598"/>
      <c r="G507" s="598"/>
      <c r="H507" s="599"/>
      <c r="I507" s="211"/>
      <c r="J507" s="207"/>
    </row>
    <row r="508" spans="2:10" x14ac:dyDescent="0.2">
      <c r="B508" s="597"/>
      <c r="C508" s="598"/>
      <c r="D508" s="598"/>
      <c r="E508" s="598"/>
      <c r="F508" s="598"/>
      <c r="G508" s="598"/>
      <c r="H508" s="599"/>
      <c r="I508" s="211"/>
      <c r="J508" s="207"/>
    </row>
    <row r="509" spans="2:10" x14ac:dyDescent="0.2">
      <c r="B509" s="597"/>
      <c r="C509" s="598"/>
      <c r="D509" s="598"/>
      <c r="E509" s="598"/>
      <c r="F509" s="598"/>
      <c r="G509" s="598"/>
      <c r="H509" s="599"/>
      <c r="I509" s="211"/>
    </row>
    <row r="510" spans="2:10" x14ac:dyDescent="0.2">
      <c r="B510" s="597"/>
      <c r="C510" s="598"/>
      <c r="D510" s="598"/>
      <c r="E510" s="598"/>
      <c r="F510" s="598"/>
      <c r="G510" s="598"/>
      <c r="H510" s="599"/>
      <c r="I510" s="211"/>
    </row>
    <row r="511" spans="2:10" x14ac:dyDescent="0.2">
      <c r="B511" s="597"/>
      <c r="C511" s="598"/>
      <c r="D511" s="598"/>
      <c r="E511" s="598"/>
      <c r="F511" s="598"/>
      <c r="G511" s="598"/>
      <c r="H511" s="599"/>
      <c r="I511" s="211"/>
    </row>
    <row r="512" spans="2:10" x14ac:dyDescent="0.2">
      <c r="B512" s="597"/>
      <c r="C512" s="598"/>
      <c r="D512" s="598"/>
      <c r="E512" s="598"/>
      <c r="F512" s="598"/>
      <c r="G512" s="598"/>
      <c r="H512" s="599"/>
      <c r="I512" s="211"/>
    </row>
    <row r="513" spans="2:10" x14ac:dyDescent="0.2">
      <c r="B513" s="597"/>
      <c r="C513" s="598"/>
      <c r="D513" s="598"/>
      <c r="E513" s="598"/>
      <c r="F513" s="598"/>
      <c r="G513" s="598"/>
      <c r="H513" s="599"/>
      <c r="I513" s="211"/>
    </row>
    <row r="514" spans="2:10" x14ac:dyDescent="0.2">
      <c r="B514" s="597"/>
      <c r="C514" s="598"/>
      <c r="D514" s="598"/>
      <c r="E514" s="598"/>
      <c r="F514" s="598"/>
      <c r="G514" s="598"/>
      <c r="H514" s="599"/>
      <c r="I514" s="211"/>
    </row>
    <row r="515" spans="2:10" x14ac:dyDescent="0.2">
      <c r="B515" s="597"/>
      <c r="C515" s="598"/>
      <c r="D515" s="598"/>
      <c r="E515" s="598"/>
      <c r="F515" s="598"/>
      <c r="G515" s="598"/>
      <c r="H515" s="599"/>
      <c r="I515" s="211"/>
    </row>
    <row r="516" spans="2:10" x14ac:dyDescent="0.2">
      <c r="B516" s="597"/>
      <c r="C516" s="598"/>
      <c r="D516" s="598"/>
      <c r="E516" s="598"/>
      <c r="F516" s="598"/>
      <c r="G516" s="598"/>
      <c r="H516" s="599"/>
      <c r="I516" s="211"/>
    </row>
    <row r="517" spans="2:10" x14ac:dyDescent="0.2">
      <c r="B517" s="597"/>
      <c r="C517" s="598"/>
      <c r="D517" s="598"/>
      <c r="E517" s="598"/>
      <c r="F517" s="598"/>
      <c r="G517" s="598"/>
      <c r="H517" s="599"/>
      <c r="I517" s="211"/>
    </row>
    <row r="518" spans="2:10" x14ac:dyDescent="0.2">
      <c r="B518" s="597"/>
      <c r="C518" s="598"/>
      <c r="D518" s="598"/>
      <c r="E518" s="598"/>
      <c r="F518" s="598"/>
      <c r="G518" s="598"/>
      <c r="H518" s="599"/>
      <c r="I518" s="211"/>
    </row>
    <row r="519" spans="2:10" x14ac:dyDescent="0.2">
      <c r="B519" s="597"/>
      <c r="C519" s="598"/>
      <c r="D519" s="598"/>
      <c r="E519" s="598"/>
      <c r="F519" s="598"/>
      <c r="G519" s="598"/>
      <c r="H519" s="599"/>
      <c r="I519" s="211"/>
    </row>
    <row r="520" spans="2:10" x14ac:dyDescent="0.2">
      <c r="B520" s="597"/>
      <c r="C520" s="598"/>
      <c r="D520" s="598"/>
      <c r="E520" s="598"/>
      <c r="F520" s="598"/>
      <c r="G520" s="598"/>
      <c r="H520" s="599"/>
      <c r="I520" s="211"/>
    </row>
    <row r="521" spans="2:10" x14ac:dyDescent="0.2">
      <c r="B521" s="597"/>
      <c r="C521" s="598"/>
      <c r="D521" s="598"/>
      <c r="E521" s="598"/>
      <c r="F521" s="598"/>
      <c r="G521" s="598"/>
      <c r="H521" s="599"/>
      <c r="I521" s="211"/>
    </row>
    <row r="522" spans="2:10" x14ac:dyDescent="0.2">
      <c r="B522" s="597"/>
      <c r="C522" s="598"/>
      <c r="D522" s="598"/>
      <c r="E522" s="598"/>
      <c r="F522" s="598"/>
      <c r="G522" s="598"/>
      <c r="H522" s="599"/>
      <c r="I522" s="211"/>
    </row>
    <row r="523" spans="2:10" x14ac:dyDescent="0.2">
      <c r="B523" s="600"/>
      <c r="C523" s="601"/>
      <c r="D523" s="601"/>
      <c r="E523" s="601"/>
      <c r="F523" s="601"/>
      <c r="G523" s="601"/>
      <c r="H523" s="602"/>
      <c r="I523" s="211"/>
    </row>
    <row r="526" spans="2:10" x14ac:dyDescent="0.2">
      <c r="B526" s="594" t="s">
        <v>285</v>
      </c>
      <c r="C526" s="595"/>
      <c r="D526" s="595"/>
      <c r="E526" s="595"/>
      <c r="F526" s="595"/>
      <c r="G526" s="595"/>
      <c r="H526" s="596"/>
      <c r="I526" s="211"/>
      <c r="J526" s="209"/>
    </row>
    <row r="527" spans="2:10" x14ac:dyDescent="0.2">
      <c r="B527" s="597"/>
      <c r="C527" s="598"/>
      <c r="D527" s="598"/>
      <c r="E527" s="598"/>
      <c r="F527" s="598"/>
      <c r="G527" s="598"/>
      <c r="H527" s="599"/>
      <c r="I527" s="211"/>
      <c r="J527" s="207"/>
    </row>
    <row r="528" spans="2:10" x14ac:dyDescent="0.2">
      <c r="B528" s="597"/>
      <c r="C528" s="598"/>
      <c r="D528" s="598"/>
      <c r="E528" s="598"/>
      <c r="F528" s="598"/>
      <c r="G528" s="598"/>
      <c r="H528" s="599"/>
      <c r="I528" s="211"/>
      <c r="J528" s="207"/>
    </row>
    <row r="529" spans="2:10" x14ac:dyDescent="0.2">
      <c r="B529" s="597"/>
      <c r="C529" s="598"/>
      <c r="D529" s="598"/>
      <c r="E529" s="598"/>
      <c r="F529" s="598"/>
      <c r="G529" s="598"/>
      <c r="H529" s="599"/>
      <c r="I529" s="211"/>
      <c r="J529" s="207"/>
    </row>
    <row r="530" spans="2:10" x14ac:dyDescent="0.2">
      <c r="B530" s="597"/>
      <c r="C530" s="598"/>
      <c r="D530" s="598"/>
      <c r="E530" s="598"/>
      <c r="F530" s="598"/>
      <c r="G530" s="598"/>
      <c r="H530" s="599"/>
      <c r="I530" s="211"/>
    </row>
    <row r="531" spans="2:10" x14ac:dyDescent="0.2">
      <c r="B531" s="597"/>
      <c r="C531" s="598"/>
      <c r="D531" s="598"/>
      <c r="E531" s="598"/>
      <c r="F531" s="598"/>
      <c r="G531" s="598"/>
      <c r="H531" s="599"/>
      <c r="I531" s="211"/>
    </row>
    <row r="532" spans="2:10" x14ac:dyDescent="0.2">
      <c r="B532" s="597"/>
      <c r="C532" s="598"/>
      <c r="D532" s="598"/>
      <c r="E532" s="598"/>
      <c r="F532" s="598"/>
      <c r="G532" s="598"/>
      <c r="H532" s="599"/>
      <c r="I532" s="211"/>
    </row>
    <row r="533" spans="2:10" x14ac:dyDescent="0.2">
      <c r="B533" s="597"/>
      <c r="C533" s="598"/>
      <c r="D533" s="598"/>
      <c r="E533" s="598"/>
      <c r="F533" s="598"/>
      <c r="G533" s="598"/>
      <c r="H533" s="599"/>
      <c r="I533" s="211"/>
    </row>
    <row r="534" spans="2:10" x14ac:dyDescent="0.2">
      <c r="B534" s="597"/>
      <c r="C534" s="598"/>
      <c r="D534" s="598"/>
      <c r="E534" s="598"/>
      <c r="F534" s="598"/>
      <c r="G534" s="598"/>
      <c r="H534" s="599"/>
      <c r="I534" s="211"/>
    </row>
    <row r="535" spans="2:10" x14ac:dyDescent="0.2">
      <c r="B535" s="597"/>
      <c r="C535" s="598"/>
      <c r="D535" s="598"/>
      <c r="E535" s="598"/>
      <c r="F535" s="598"/>
      <c r="G535" s="598"/>
      <c r="H535" s="599"/>
      <c r="I535" s="211"/>
    </row>
    <row r="536" spans="2:10" x14ac:dyDescent="0.2">
      <c r="B536" s="597"/>
      <c r="C536" s="598"/>
      <c r="D536" s="598"/>
      <c r="E536" s="598"/>
      <c r="F536" s="598"/>
      <c r="G536" s="598"/>
      <c r="H536" s="599"/>
      <c r="I536" s="211"/>
    </row>
    <row r="537" spans="2:10" x14ac:dyDescent="0.2">
      <c r="B537" s="597"/>
      <c r="C537" s="598"/>
      <c r="D537" s="598"/>
      <c r="E537" s="598"/>
      <c r="F537" s="598"/>
      <c r="G537" s="598"/>
      <c r="H537" s="599"/>
      <c r="I537" s="211"/>
    </row>
    <row r="538" spans="2:10" x14ac:dyDescent="0.2">
      <c r="B538" s="597"/>
      <c r="C538" s="598"/>
      <c r="D538" s="598"/>
      <c r="E538" s="598"/>
      <c r="F538" s="598"/>
      <c r="G538" s="598"/>
      <c r="H538" s="599"/>
      <c r="I538" s="211"/>
    </row>
    <row r="539" spans="2:10" x14ac:dyDescent="0.2">
      <c r="B539" s="597"/>
      <c r="C539" s="598"/>
      <c r="D539" s="598"/>
      <c r="E539" s="598"/>
      <c r="F539" s="598"/>
      <c r="G539" s="598"/>
      <c r="H539" s="599"/>
      <c r="I539" s="211"/>
    </row>
    <row r="540" spans="2:10" x14ac:dyDescent="0.2">
      <c r="B540" s="597"/>
      <c r="C540" s="598"/>
      <c r="D540" s="598"/>
      <c r="E540" s="598"/>
      <c r="F540" s="598"/>
      <c r="G540" s="598"/>
      <c r="H540" s="599"/>
      <c r="I540" s="211"/>
    </row>
    <row r="541" spans="2:10" x14ac:dyDescent="0.2">
      <c r="B541" s="597"/>
      <c r="C541" s="598"/>
      <c r="D541" s="598"/>
      <c r="E541" s="598"/>
      <c r="F541" s="598"/>
      <c r="G541" s="598"/>
      <c r="H541" s="599"/>
      <c r="I541" s="211"/>
    </row>
    <row r="542" spans="2:10" x14ac:dyDescent="0.2">
      <c r="B542" s="597"/>
      <c r="C542" s="598"/>
      <c r="D542" s="598"/>
      <c r="E542" s="598"/>
      <c r="F542" s="598"/>
      <c r="G542" s="598"/>
      <c r="H542" s="599"/>
      <c r="I542" s="211"/>
    </row>
    <row r="543" spans="2:10" x14ac:dyDescent="0.2">
      <c r="B543" s="597"/>
      <c r="C543" s="598"/>
      <c r="D543" s="598"/>
      <c r="E543" s="598"/>
      <c r="F543" s="598"/>
      <c r="G543" s="598"/>
      <c r="H543" s="599"/>
      <c r="I543" s="211"/>
    </row>
    <row r="544" spans="2:10" x14ac:dyDescent="0.2">
      <c r="B544" s="600"/>
      <c r="C544" s="601"/>
      <c r="D544" s="601"/>
      <c r="E544" s="601"/>
      <c r="F544" s="601"/>
      <c r="G544" s="601"/>
      <c r="H544" s="602"/>
      <c r="I544" s="211"/>
    </row>
    <row r="547" spans="2:10" x14ac:dyDescent="0.2">
      <c r="B547" s="594" t="s">
        <v>285</v>
      </c>
      <c r="C547" s="595"/>
      <c r="D547" s="595"/>
      <c r="E547" s="595"/>
      <c r="F547" s="595"/>
      <c r="G547" s="595"/>
      <c r="H547" s="596"/>
      <c r="I547" s="211"/>
      <c r="J547" s="209"/>
    </row>
    <row r="548" spans="2:10" x14ac:dyDescent="0.2">
      <c r="B548" s="597"/>
      <c r="C548" s="598"/>
      <c r="D548" s="598"/>
      <c r="E548" s="598"/>
      <c r="F548" s="598"/>
      <c r="G548" s="598"/>
      <c r="H548" s="599"/>
      <c r="I548" s="211"/>
      <c r="J548" s="207"/>
    </row>
    <row r="549" spans="2:10" x14ac:dyDescent="0.2">
      <c r="B549" s="597"/>
      <c r="C549" s="598"/>
      <c r="D549" s="598"/>
      <c r="E549" s="598"/>
      <c r="F549" s="598"/>
      <c r="G549" s="598"/>
      <c r="H549" s="599"/>
      <c r="I549" s="211"/>
      <c r="J549" s="207"/>
    </row>
    <row r="550" spans="2:10" x14ac:dyDescent="0.2">
      <c r="B550" s="597"/>
      <c r="C550" s="598"/>
      <c r="D550" s="598"/>
      <c r="E550" s="598"/>
      <c r="F550" s="598"/>
      <c r="G550" s="598"/>
      <c r="H550" s="599"/>
      <c r="I550" s="211"/>
      <c r="J550" s="207"/>
    </row>
    <row r="551" spans="2:10" x14ac:dyDescent="0.2">
      <c r="B551" s="597"/>
      <c r="C551" s="598"/>
      <c r="D551" s="598"/>
      <c r="E551" s="598"/>
      <c r="F551" s="598"/>
      <c r="G551" s="598"/>
      <c r="H551" s="599"/>
      <c r="I551" s="211"/>
    </row>
    <row r="552" spans="2:10" x14ac:dyDescent="0.2">
      <c r="B552" s="597"/>
      <c r="C552" s="598"/>
      <c r="D552" s="598"/>
      <c r="E552" s="598"/>
      <c r="F552" s="598"/>
      <c r="G552" s="598"/>
      <c r="H552" s="599"/>
      <c r="I552" s="211"/>
    </row>
    <row r="553" spans="2:10" x14ac:dyDescent="0.2">
      <c r="B553" s="597"/>
      <c r="C553" s="598"/>
      <c r="D553" s="598"/>
      <c r="E553" s="598"/>
      <c r="F553" s="598"/>
      <c r="G553" s="598"/>
      <c r="H553" s="599"/>
      <c r="I553" s="211"/>
    </row>
    <row r="554" spans="2:10" x14ac:dyDescent="0.2">
      <c r="B554" s="597"/>
      <c r="C554" s="598"/>
      <c r="D554" s="598"/>
      <c r="E554" s="598"/>
      <c r="F554" s="598"/>
      <c r="G554" s="598"/>
      <c r="H554" s="599"/>
      <c r="I554" s="211"/>
    </row>
    <row r="555" spans="2:10" x14ac:dyDescent="0.2">
      <c r="B555" s="597"/>
      <c r="C555" s="598"/>
      <c r="D555" s="598"/>
      <c r="E555" s="598"/>
      <c r="F555" s="598"/>
      <c r="G555" s="598"/>
      <c r="H555" s="599"/>
      <c r="I555" s="211"/>
    </row>
    <row r="556" spans="2:10" x14ac:dyDescent="0.2">
      <c r="B556" s="597"/>
      <c r="C556" s="598"/>
      <c r="D556" s="598"/>
      <c r="E556" s="598"/>
      <c r="F556" s="598"/>
      <c r="G556" s="598"/>
      <c r="H556" s="599"/>
      <c r="I556" s="211"/>
    </row>
    <row r="557" spans="2:10" x14ac:dyDescent="0.2">
      <c r="B557" s="597"/>
      <c r="C557" s="598"/>
      <c r="D557" s="598"/>
      <c r="E557" s="598"/>
      <c r="F557" s="598"/>
      <c r="G557" s="598"/>
      <c r="H557" s="599"/>
      <c r="I557" s="211"/>
    </row>
    <row r="558" spans="2:10" x14ac:dyDescent="0.2">
      <c r="B558" s="597"/>
      <c r="C558" s="598"/>
      <c r="D558" s="598"/>
      <c r="E558" s="598"/>
      <c r="F558" s="598"/>
      <c r="G558" s="598"/>
      <c r="H558" s="599"/>
      <c r="I558" s="211"/>
    </row>
    <row r="559" spans="2:10" x14ac:dyDescent="0.2">
      <c r="B559" s="597"/>
      <c r="C559" s="598"/>
      <c r="D559" s="598"/>
      <c r="E559" s="598"/>
      <c r="F559" s="598"/>
      <c r="G559" s="598"/>
      <c r="H559" s="599"/>
      <c r="I559" s="211"/>
    </row>
    <row r="560" spans="2:10" x14ac:dyDescent="0.2">
      <c r="B560" s="597"/>
      <c r="C560" s="598"/>
      <c r="D560" s="598"/>
      <c r="E560" s="598"/>
      <c r="F560" s="598"/>
      <c r="G560" s="598"/>
      <c r="H560" s="599"/>
      <c r="I560" s="211"/>
    </row>
    <row r="561" spans="2:10" x14ac:dyDescent="0.2">
      <c r="B561" s="597"/>
      <c r="C561" s="598"/>
      <c r="D561" s="598"/>
      <c r="E561" s="598"/>
      <c r="F561" s="598"/>
      <c r="G561" s="598"/>
      <c r="H561" s="599"/>
      <c r="I561" s="211"/>
    </row>
    <row r="562" spans="2:10" x14ac:dyDescent="0.2">
      <c r="B562" s="597"/>
      <c r="C562" s="598"/>
      <c r="D562" s="598"/>
      <c r="E562" s="598"/>
      <c r="F562" s="598"/>
      <c r="G562" s="598"/>
      <c r="H562" s="599"/>
      <c r="I562" s="211"/>
    </row>
    <row r="563" spans="2:10" x14ac:dyDescent="0.2">
      <c r="B563" s="597"/>
      <c r="C563" s="598"/>
      <c r="D563" s="598"/>
      <c r="E563" s="598"/>
      <c r="F563" s="598"/>
      <c r="G563" s="598"/>
      <c r="H563" s="599"/>
      <c r="I563" s="211"/>
    </row>
    <row r="564" spans="2:10" x14ac:dyDescent="0.2">
      <c r="B564" s="597"/>
      <c r="C564" s="598"/>
      <c r="D564" s="598"/>
      <c r="E564" s="598"/>
      <c r="F564" s="598"/>
      <c r="G564" s="598"/>
      <c r="H564" s="599"/>
      <c r="I564" s="211"/>
    </row>
    <row r="565" spans="2:10" x14ac:dyDescent="0.2">
      <c r="B565" s="600"/>
      <c r="C565" s="601"/>
      <c r="D565" s="601"/>
      <c r="E565" s="601"/>
      <c r="F565" s="601"/>
      <c r="G565" s="601"/>
      <c r="H565" s="602"/>
      <c r="I565" s="211"/>
    </row>
    <row r="567" spans="2:10" x14ac:dyDescent="0.2">
      <c r="B567" s="594" t="s">
        <v>285</v>
      </c>
      <c r="C567" s="595"/>
      <c r="D567" s="595"/>
      <c r="E567" s="595"/>
      <c r="F567" s="595"/>
      <c r="G567" s="595"/>
      <c r="H567" s="596"/>
      <c r="I567" s="211"/>
      <c r="J567" s="209"/>
    </row>
    <row r="568" spans="2:10" x14ac:dyDescent="0.2">
      <c r="B568" s="597"/>
      <c r="C568" s="598"/>
      <c r="D568" s="598"/>
      <c r="E568" s="598"/>
      <c r="F568" s="598"/>
      <c r="G568" s="598"/>
      <c r="H568" s="599"/>
      <c r="I568" s="211"/>
      <c r="J568" s="207"/>
    </row>
    <row r="569" spans="2:10" x14ac:dyDescent="0.2">
      <c r="B569" s="597"/>
      <c r="C569" s="598"/>
      <c r="D569" s="598"/>
      <c r="E569" s="598"/>
      <c r="F569" s="598"/>
      <c r="G569" s="598"/>
      <c r="H569" s="599"/>
      <c r="I569" s="211"/>
      <c r="J569" s="207"/>
    </row>
    <row r="570" spans="2:10" x14ac:dyDescent="0.2">
      <c r="B570" s="597"/>
      <c r="C570" s="598"/>
      <c r="D570" s="598"/>
      <c r="E570" s="598"/>
      <c r="F570" s="598"/>
      <c r="G570" s="598"/>
      <c r="H570" s="599"/>
      <c r="I570" s="211"/>
      <c r="J570" s="207"/>
    </row>
    <row r="571" spans="2:10" x14ac:dyDescent="0.2">
      <c r="B571" s="597"/>
      <c r="C571" s="598"/>
      <c r="D571" s="598"/>
      <c r="E571" s="598"/>
      <c r="F571" s="598"/>
      <c r="G571" s="598"/>
      <c r="H571" s="599"/>
      <c r="I571" s="211"/>
    </row>
    <row r="572" spans="2:10" x14ac:dyDescent="0.2">
      <c r="B572" s="597"/>
      <c r="C572" s="598"/>
      <c r="D572" s="598"/>
      <c r="E572" s="598"/>
      <c r="F572" s="598"/>
      <c r="G572" s="598"/>
      <c r="H572" s="599"/>
      <c r="I572" s="211"/>
    </row>
    <row r="573" spans="2:10" x14ac:dyDescent="0.2">
      <c r="B573" s="597"/>
      <c r="C573" s="598"/>
      <c r="D573" s="598"/>
      <c r="E573" s="598"/>
      <c r="F573" s="598"/>
      <c r="G573" s="598"/>
      <c r="H573" s="599"/>
      <c r="I573" s="211"/>
    </row>
    <row r="574" spans="2:10" x14ac:dyDescent="0.2">
      <c r="B574" s="597"/>
      <c r="C574" s="598"/>
      <c r="D574" s="598"/>
      <c r="E574" s="598"/>
      <c r="F574" s="598"/>
      <c r="G574" s="598"/>
      <c r="H574" s="599"/>
      <c r="I574" s="211"/>
    </row>
    <row r="575" spans="2:10" x14ac:dyDescent="0.2">
      <c r="B575" s="597"/>
      <c r="C575" s="598"/>
      <c r="D575" s="598"/>
      <c r="E575" s="598"/>
      <c r="F575" s="598"/>
      <c r="G575" s="598"/>
      <c r="H575" s="599"/>
      <c r="I575" s="211"/>
    </row>
    <row r="576" spans="2:10" x14ac:dyDescent="0.2">
      <c r="B576" s="597"/>
      <c r="C576" s="598"/>
      <c r="D576" s="598"/>
      <c r="E576" s="598"/>
      <c r="F576" s="598"/>
      <c r="G576" s="598"/>
      <c r="H576" s="599"/>
      <c r="I576" s="211"/>
    </row>
    <row r="577" spans="2:10" x14ac:dyDescent="0.2">
      <c r="B577" s="597"/>
      <c r="C577" s="598"/>
      <c r="D577" s="598"/>
      <c r="E577" s="598"/>
      <c r="F577" s="598"/>
      <c r="G577" s="598"/>
      <c r="H577" s="599"/>
      <c r="I577" s="211"/>
    </row>
    <row r="578" spans="2:10" x14ac:dyDescent="0.2">
      <c r="B578" s="597"/>
      <c r="C578" s="598"/>
      <c r="D578" s="598"/>
      <c r="E578" s="598"/>
      <c r="F578" s="598"/>
      <c r="G578" s="598"/>
      <c r="H578" s="599"/>
      <c r="I578" s="211"/>
    </row>
    <row r="579" spans="2:10" x14ac:dyDescent="0.2">
      <c r="B579" s="597"/>
      <c r="C579" s="598"/>
      <c r="D579" s="598"/>
      <c r="E579" s="598"/>
      <c r="F579" s="598"/>
      <c r="G579" s="598"/>
      <c r="H579" s="599"/>
      <c r="I579" s="211"/>
    </row>
    <row r="580" spans="2:10" x14ac:dyDescent="0.2">
      <c r="B580" s="597"/>
      <c r="C580" s="598"/>
      <c r="D580" s="598"/>
      <c r="E580" s="598"/>
      <c r="F580" s="598"/>
      <c r="G580" s="598"/>
      <c r="H580" s="599"/>
      <c r="I580" s="211"/>
    </row>
    <row r="581" spans="2:10" x14ac:dyDescent="0.2">
      <c r="B581" s="597"/>
      <c r="C581" s="598"/>
      <c r="D581" s="598"/>
      <c r="E581" s="598"/>
      <c r="F581" s="598"/>
      <c r="G581" s="598"/>
      <c r="H581" s="599"/>
      <c r="I581" s="211"/>
    </row>
    <row r="582" spans="2:10" x14ac:dyDescent="0.2">
      <c r="B582" s="597"/>
      <c r="C582" s="598"/>
      <c r="D582" s="598"/>
      <c r="E582" s="598"/>
      <c r="F582" s="598"/>
      <c r="G582" s="598"/>
      <c r="H582" s="599"/>
      <c r="I582" s="211"/>
    </row>
    <row r="583" spans="2:10" x14ac:dyDescent="0.2">
      <c r="B583" s="597"/>
      <c r="C583" s="598"/>
      <c r="D583" s="598"/>
      <c r="E583" s="598"/>
      <c r="F583" s="598"/>
      <c r="G583" s="598"/>
      <c r="H583" s="599"/>
      <c r="I583" s="211"/>
    </row>
    <row r="584" spans="2:10" x14ac:dyDescent="0.2">
      <c r="B584" s="597"/>
      <c r="C584" s="598"/>
      <c r="D584" s="598"/>
      <c r="E584" s="598"/>
      <c r="F584" s="598"/>
      <c r="G584" s="598"/>
      <c r="H584" s="599"/>
      <c r="I584" s="211"/>
    </row>
    <row r="585" spans="2:10" x14ac:dyDescent="0.2">
      <c r="B585" s="600"/>
      <c r="C585" s="601"/>
      <c r="D585" s="601"/>
      <c r="E585" s="601"/>
      <c r="F585" s="601"/>
      <c r="G585" s="601"/>
      <c r="H585" s="602"/>
      <c r="I585" s="211"/>
    </row>
    <row r="588" spans="2:10" x14ac:dyDescent="0.2">
      <c r="B588" s="594" t="s">
        <v>285</v>
      </c>
      <c r="C588" s="595"/>
      <c r="D588" s="595"/>
      <c r="E588" s="595"/>
      <c r="F588" s="595"/>
      <c r="G588" s="595"/>
      <c r="H588" s="596"/>
      <c r="I588" s="211"/>
      <c r="J588" s="209"/>
    </row>
    <row r="589" spans="2:10" x14ac:dyDescent="0.2">
      <c r="B589" s="597"/>
      <c r="C589" s="598"/>
      <c r="D589" s="598"/>
      <c r="E589" s="598"/>
      <c r="F589" s="598"/>
      <c r="G589" s="598"/>
      <c r="H589" s="599"/>
      <c r="I589" s="211"/>
      <c r="J589" s="207"/>
    </row>
    <row r="590" spans="2:10" x14ac:dyDescent="0.2">
      <c r="B590" s="597"/>
      <c r="C590" s="598"/>
      <c r="D590" s="598"/>
      <c r="E590" s="598"/>
      <c r="F590" s="598"/>
      <c r="G590" s="598"/>
      <c r="H590" s="599"/>
      <c r="I590" s="211"/>
      <c r="J590" s="207"/>
    </row>
    <row r="591" spans="2:10" x14ac:dyDescent="0.2">
      <c r="B591" s="597"/>
      <c r="C591" s="598"/>
      <c r="D591" s="598"/>
      <c r="E591" s="598"/>
      <c r="F591" s="598"/>
      <c r="G591" s="598"/>
      <c r="H591" s="599"/>
      <c r="I591" s="211"/>
      <c r="J591" s="207"/>
    </row>
    <row r="592" spans="2:10" x14ac:dyDescent="0.2">
      <c r="B592" s="597"/>
      <c r="C592" s="598"/>
      <c r="D592" s="598"/>
      <c r="E592" s="598"/>
      <c r="F592" s="598"/>
      <c r="G592" s="598"/>
      <c r="H592" s="599"/>
      <c r="I592" s="211"/>
    </row>
    <row r="593" spans="2:9" x14ac:dyDescent="0.2">
      <c r="B593" s="597"/>
      <c r="C593" s="598"/>
      <c r="D593" s="598"/>
      <c r="E593" s="598"/>
      <c r="F593" s="598"/>
      <c r="G593" s="598"/>
      <c r="H593" s="599"/>
      <c r="I593" s="211"/>
    </row>
    <row r="594" spans="2:9" x14ac:dyDescent="0.2">
      <c r="B594" s="597"/>
      <c r="C594" s="598"/>
      <c r="D594" s="598"/>
      <c r="E594" s="598"/>
      <c r="F594" s="598"/>
      <c r="G594" s="598"/>
      <c r="H594" s="599"/>
      <c r="I594" s="211"/>
    </row>
    <row r="595" spans="2:9" x14ac:dyDescent="0.2">
      <c r="B595" s="597"/>
      <c r="C595" s="598"/>
      <c r="D595" s="598"/>
      <c r="E595" s="598"/>
      <c r="F595" s="598"/>
      <c r="G595" s="598"/>
      <c r="H595" s="599"/>
      <c r="I595" s="211"/>
    </row>
    <row r="596" spans="2:9" x14ac:dyDescent="0.2">
      <c r="B596" s="597"/>
      <c r="C596" s="598"/>
      <c r="D596" s="598"/>
      <c r="E596" s="598"/>
      <c r="F596" s="598"/>
      <c r="G596" s="598"/>
      <c r="H596" s="599"/>
      <c r="I596" s="211"/>
    </row>
    <row r="597" spans="2:9" x14ac:dyDescent="0.2">
      <c r="B597" s="597"/>
      <c r="C597" s="598"/>
      <c r="D597" s="598"/>
      <c r="E597" s="598"/>
      <c r="F597" s="598"/>
      <c r="G597" s="598"/>
      <c r="H597" s="599"/>
      <c r="I597" s="211"/>
    </row>
    <row r="598" spans="2:9" x14ac:dyDescent="0.2">
      <c r="B598" s="597"/>
      <c r="C598" s="598"/>
      <c r="D598" s="598"/>
      <c r="E598" s="598"/>
      <c r="F598" s="598"/>
      <c r="G598" s="598"/>
      <c r="H598" s="599"/>
      <c r="I598" s="211"/>
    </row>
    <row r="599" spans="2:9" x14ac:dyDescent="0.2">
      <c r="B599" s="597"/>
      <c r="C599" s="598"/>
      <c r="D599" s="598"/>
      <c r="E599" s="598"/>
      <c r="F599" s="598"/>
      <c r="G599" s="598"/>
      <c r="H599" s="599"/>
      <c r="I599" s="211"/>
    </row>
    <row r="600" spans="2:9" x14ac:dyDescent="0.2">
      <c r="B600" s="597"/>
      <c r="C600" s="598"/>
      <c r="D600" s="598"/>
      <c r="E600" s="598"/>
      <c r="F600" s="598"/>
      <c r="G600" s="598"/>
      <c r="H600" s="599"/>
      <c r="I600" s="211"/>
    </row>
    <row r="601" spans="2:9" x14ac:dyDescent="0.2">
      <c r="B601" s="597"/>
      <c r="C601" s="598"/>
      <c r="D601" s="598"/>
      <c r="E601" s="598"/>
      <c r="F601" s="598"/>
      <c r="G601" s="598"/>
      <c r="H601" s="599"/>
      <c r="I601" s="211"/>
    </row>
    <row r="602" spans="2:9" x14ac:dyDescent="0.2">
      <c r="B602" s="597"/>
      <c r="C602" s="598"/>
      <c r="D602" s="598"/>
      <c r="E602" s="598"/>
      <c r="F602" s="598"/>
      <c r="G602" s="598"/>
      <c r="H602" s="599"/>
      <c r="I602" s="211"/>
    </row>
    <row r="603" spans="2:9" x14ac:dyDescent="0.2">
      <c r="B603" s="597"/>
      <c r="C603" s="598"/>
      <c r="D603" s="598"/>
      <c r="E603" s="598"/>
      <c r="F603" s="598"/>
      <c r="G603" s="598"/>
      <c r="H603" s="599"/>
      <c r="I603" s="211"/>
    </row>
    <row r="604" spans="2:9" x14ac:dyDescent="0.2">
      <c r="B604" s="597"/>
      <c r="C604" s="598"/>
      <c r="D604" s="598"/>
      <c r="E604" s="598"/>
      <c r="F604" s="598"/>
      <c r="G604" s="598"/>
      <c r="H604" s="599"/>
      <c r="I604" s="211"/>
    </row>
    <row r="605" spans="2:9" x14ac:dyDescent="0.2">
      <c r="B605" s="597"/>
      <c r="C605" s="598"/>
      <c r="D605" s="598"/>
      <c r="E605" s="598"/>
      <c r="F605" s="598"/>
      <c r="G605" s="598"/>
      <c r="H605" s="599"/>
      <c r="I605" s="211"/>
    </row>
    <row r="606" spans="2:9" x14ac:dyDescent="0.2">
      <c r="B606" s="600"/>
      <c r="C606" s="601"/>
      <c r="D606" s="601"/>
      <c r="E606" s="601"/>
      <c r="F606" s="601"/>
      <c r="G606" s="601"/>
      <c r="H606" s="602"/>
      <c r="I606" s="211"/>
    </row>
    <row r="609" spans="2:10" x14ac:dyDescent="0.2">
      <c r="B609" s="594" t="s">
        <v>285</v>
      </c>
      <c r="C609" s="595"/>
      <c r="D609" s="595"/>
      <c r="E609" s="595"/>
      <c r="F609" s="595"/>
      <c r="G609" s="595"/>
      <c r="H609" s="596"/>
      <c r="I609" s="211"/>
      <c r="J609" s="209"/>
    </row>
    <row r="610" spans="2:10" x14ac:dyDescent="0.2">
      <c r="B610" s="597"/>
      <c r="C610" s="598"/>
      <c r="D610" s="598"/>
      <c r="E610" s="598"/>
      <c r="F610" s="598"/>
      <c r="G610" s="598"/>
      <c r="H610" s="599"/>
      <c r="I610" s="211"/>
      <c r="J610" s="207"/>
    </row>
    <row r="611" spans="2:10" x14ac:dyDescent="0.2">
      <c r="B611" s="597"/>
      <c r="C611" s="598"/>
      <c r="D611" s="598"/>
      <c r="E611" s="598"/>
      <c r="F611" s="598"/>
      <c r="G611" s="598"/>
      <c r="H611" s="599"/>
      <c r="I611" s="211"/>
      <c r="J611" s="207"/>
    </row>
    <row r="612" spans="2:10" x14ac:dyDescent="0.2">
      <c r="B612" s="597"/>
      <c r="C612" s="598"/>
      <c r="D612" s="598"/>
      <c r="E612" s="598"/>
      <c r="F612" s="598"/>
      <c r="G612" s="598"/>
      <c r="H612" s="599"/>
      <c r="I612" s="211"/>
      <c r="J612" s="207"/>
    </row>
    <row r="613" spans="2:10" x14ac:dyDescent="0.2">
      <c r="B613" s="597"/>
      <c r="C613" s="598"/>
      <c r="D613" s="598"/>
      <c r="E613" s="598"/>
      <c r="F613" s="598"/>
      <c r="G613" s="598"/>
      <c r="H613" s="599"/>
      <c r="I613" s="211"/>
    </row>
    <row r="614" spans="2:10" x14ac:dyDescent="0.2">
      <c r="B614" s="597"/>
      <c r="C614" s="598"/>
      <c r="D614" s="598"/>
      <c r="E614" s="598"/>
      <c r="F614" s="598"/>
      <c r="G614" s="598"/>
      <c r="H614" s="599"/>
      <c r="I614" s="211"/>
    </row>
    <row r="615" spans="2:10" x14ac:dyDescent="0.2">
      <c r="B615" s="597"/>
      <c r="C615" s="598"/>
      <c r="D615" s="598"/>
      <c r="E615" s="598"/>
      <c r="F615" s="598"/>
      <c r="G615" s="598"/>
      <c r="H615" s="599"/>
      <c r="I615" s="211"/>
    </row>
    <row r="616" spans="2:10" x14ac:dyDescent="0.2">
      <c r="B616" s="597"/>
      <c r="C616" s="598"/>
      <c r="D616" s="598"/>
      <c r="E616" s="598"/>
      <c r="F616" s="598"/>
      <c r="G616" s="598"/>
      <c r="H616" s="599"/>
      <c r="I616" s="211"/>
    </row>
    <row r="617" spans="2:10" x14ac:dyDescent="0.2">
      <c r="B617" s="597"/>
      <c r="C617" s="598"/>
      <c r="D617" s="598"/>
      <c r="E617" s="598"/>
      <c r="F617" s="598"/>
      <c r="G617" s="598"/>
      <c r="H617" s="599"/>
      <c r="I617" s="211"/>
    </row>
    <row r="618" spans="2:10" x14ac:dyDescent="0.2">
      <c r="B618" s="597"/>
      <c r="C618" s="598"/>
      <c r="D618" s="598"/>
      <c r="E618" s="598"/>
      <c r="F618" s="598"/>
      <c r="G618" s="598"/>
      <c r="H618" s="599"/>
      <c r="I618" s="211"/>
    </row>
    <row r="619" spans="2:10" x14ac:dyDescent="0.2">
      <c r="B619" s="597"/>
      <c r="C619" s="598"/>
      <c r="D619" s="598"/>
      <c r="E619" s="598"/>
      <c r="F619" s="598"/>
      <c r="G619" s="598"/>
      <c r="H619" s="599"/>
      <c r="I619" s="211"/>
    </row>
    <row r="620" spans="2:10" x14ac:dyDescent="0.2">
      <c r="B620" s="597"/>
      <c r="C620" s="598"/>
      <c r="D620" s="598"/>
      <c r="E620" s="598"/>
      <c r="F620" s="598"/>
      <c r="G620" s="598"/>
      <c r="H620" s="599"/>
      <c r="I620" s="211"/>
    </row>
    <row r="621" spans="2:10" x14ac:dyDescent="0.2">
      <c r="B621" s="597"/>
      <c r="C621" s="598"/>
      <c r="D621" s="598"/>
      <c r="E621" s="598"/>
      <c r="F621" s="598"/>
      <c r="G621" s="598"/>
      <c r="H621" s="599"/>
      <c r="I621" s="211"/>
    </row>
    <row r="622" spans="2:10" x14ac:dyDescent="0.2">
      <c r="B622" s="597"/>
      <c r="C622" s="598"/>
      <c r="D622" s="598"/>
      <c r="E622" s="598"/>
      <c r="F622" s="598"/>
      <c r="G622" s="598"/>
      <c r="H622" s="599"/>
      <c r="I622" s="211"/>
    </row>
    <row r="623" spans="2:10" x14ac:dyDescent="0.2">
      <c r="B623" s="597"/>
      <c r="C623" s="598"/>
      <c r="D623" s="598"/>
      <c r="E623" s="598"/>
      <c r="F623" s="598"/>
      <c r="G623" s="598"/>
      <c r="H623" s="599"/>
      <c r="I623" s="211"/>
    </row>
    <row r="624" spans="2:10" x14ac:dyDescent="0.2">
      <c r="B624" s="597"/>
      <c r="C624" s="598"/>
      <c r="D624" s="598"/>
      <c r="E624" s="598"/>
      <c r="F624" s="598"/>
      <c r="G624" s="598"/>
      <c r="H624" s="599"/>
      <c r="I624" s="211"/>
    </row>
    <row r="625" spans="2:9" x14ac:dyDescent="0.2">
      <c r="B625" s="597"/>
      <c r="C625" s="598"/>
      <c r="D625" s="598"/>
      <c r="E625" s="598"/>
      <c r="F625" s="598"/>
      <c r="G625" s="598"/>
      <c r="H625" s="599"/>
      <c r="I625" s="211"/>
    </row>
    <row r="626" spans="2:9" x14ac:dyDescent="0.2">
      <c r="B626" s="597"/>
      <c r="C626" s="598"/>
      <c r="D626" s="598"/>
      <c r="E626" s="598"/>
      <c r="F626" s="598"/>
      <c r="G626" s="598"/>
      <c r="H626" s="599"/>
      <c r="I626" s="211"/>
    </row>
    <row r="627" spans="2:9" x14ac:dyDescent="0.2">
      <c r="B627" s="600"/>
      <c r="C627" s="601"/>
      <c r="D627" s="601"/>
      <c r="E627" s="601"/>
      <c r="F627" s="601"/>
      <c r="G627" s="601"/>
      <c r="H627" s="602"/>
      <c r="I627" s="211"/>
    </row>
  </sheetData>
  <mergeCells count="30">
    <mergeCell ref="B9:H27"/>
    <mergeCell ref="B30:H48"/>
    <mergeCell ref="B51:H69"/>
    <mergeCell ref="B443:H461"/>
    <mergeCell ref="B71:H89"/>
    <mergeCell ref="B92:H110"/>
    <mergeCell ref="B113:H131"/>
    <mergeCell ref="B257:H275"/>
    <mergeCell ref="B278:H296"/>
    <mergeCell ref="B299:H317"/>
    <mergeCell ref="B319:H337"/>
    <mergeCell ref="B175:H193"/>
    <mergeCell ref="B195:H213"/>
    <mergeCell ref="B216:H234"/>
    <mergeCell ref="B237:H255"/>
    <mergeCell ref="B133:H151"/>
    <mergeCell ref="B154:H172"/>
    <mergeCell ref="B340:H358"/>
    <mergeCell ref="B361:H379"/>
    <mergeCell ref="B381:H399"/>
    <mergeCell ref="B402:H420"/>
    <mergeCell ref="B423:H441"/>
    <mergeCell ref="B588:H606"/>
    <mergeCell ref="B609:H627"/>
    <mergeCell ref="B464:H482"/>
    <mergeCell ref="B485:H503"/>
    <mergeCell ref="B505:H523"/>
    <mergeCell ref="B526:H544"/>
    <mergeCell ref="B547:H565"/>
    <mergeCell ref="B567:H585"/>
  </mergeCells>
  <phoneticPr fontId="3"/>
  <printOptions horizontalCentered="1"/>
  <pageMargins left="0.9055118110236221"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4"/>
  <sheetViews>
    <sheetView view="pageBreakPreview" zoomScale="130" zoomScaleNormal="100" zoomScaleSheetLayoutView="130" workbookViewId="0">
      <selection activeCell="J14" sqref="J14"/>
    </sheetView>
  </sheetViews>
  <sheetFormatPr defaultRowHeight="13" x14ac:dyDescent="0.2"/>
  <cols>
    <col min="1" max="1" width="3.7265625" style="143" customWidth="1"/>
    <col min="2" max="2" width="21.6328125" style="143" bestFit="1" customWidth="1"/>
    <col min="3" max="3" width="32.54296875" style="143" bestFit="1" customWidth="1"/>
    <col min="4" max="4" width="10.26953125" style="149" customWidth="1"/>
    <col min="5" max="5" width="10.26953125" style="143" customWidth="1"/>
    <col min="6" max="6" width="10.26953125" style="149" customWidth="1"/>
    <col min="7" max="7" width="14" style="149" customWidth="1"/>
    <col min="8" max="8" width="11.81640625" style="143" bestFit="1" customWidth="1"/>
    <col min="9" max="9" width="4.453125" style="143" customWidth="1"/>
    <col min="10" max="10" width="11.90625" style="143" customWidth="1"/>
    <col min="11" max="16384" width="8.7265625" style="143"/>
  </cols>
  <sheetData>
    <row r="2" spans="1:10" ht="14" x14ac:dyDescent="0.2">
      <c r="A2" s="170" t="s">
        <v>310</v>
      </c>
    </row>
    <row r="4" spans="1:10" x14ac:dyDescent="0.2">
      <c r="B4" s="143" t="s">
        <v>308</v>
      </c>
    </row>
    <row r="5" spans="1:10" ht="13.5" thickBot="1" x14ac:dyDescent="0.25"/>
    <row r="6" spans="1:10" s="154" customFormat="1" ht="13.5" thickBot="1" x14ac:dyDescent="0.25">
      <c r="B6" s="150" t="s">
        <v>111</v>
      </c>
      <c r="C6" s="151" t="s">
        <v>286</v>
      </c>
      <c r="D6" s="152" t="s">
        <v>87</v>
      </c>
      <c r="E6" s="151" t="s">
        <v>287</v>
      </c>
      <c r="F6" s="152" t="s">
        <v>288</v>
      </c>
      <c r="G6" s="152" t="s">
        <v>289</v>
      </c>
      <c r="H6" s="153" t="s">
        <v>161</v>
      </c>
      <c r="J6" s="171" t="s">
        <v>312</v>
      </c>
    </row>
    <row r="7" spans="1:10" x14ac:dyDescent="0.2">
      <c r="B7" s="155"/>
      <c r="C7" s="156"/>
      <c r="D7" s="157"/>
      <c r="E7" s="156"/>
      <c r="F7" s="157"/>
      <c r="G7" s="157"/>
      <c r="H7" s="158"/>
    </row>
    <row r="8" spans="1:10" x14ac:dyDescent="0.2">
      <c r="B8" s="159" t="s">
        <v>294</v>
      </c>
      <c r="C8" s="160"/>
      <c r="D8" s="161"/>
      <c r="E8" s="160"/>
      <c r="F8" s="161"/>
      <c r="G8" s="161"/>
      <c r="H8" s="162"/>
    </row>
    <row r="9" spans="1:10" x14ac:dyDescent="0.2">
      <c r="B9" s="159" t="s">
        <v>295</v>
      </c>
      <c r="C9" s="160"/>
      <c r="D9" s="161"/>
      <c r="E9" s="160"/>
      <c r="F9" s="161"/>
      <c r="G9" s="161"/>
      <c r="H9" s="162"/>
    </row>
    <row r="10" spans="1:10" x14ac:dyDescent="0.2">
      <c r="B10" s="159" t="s">
        <v>296</v>
      </c>
      <c r="C10" s="160" t="s">
        <v>302</v>
      </c>
      <c r="D10" s="161">
        <v>1</v>
      </c>
      <c r="E10" s="160" t="s">
        <v>304</v>
      </c>
      <c r="F10" s="161">
        <v>52000</v>
      </c>
      <c r="G10" s="161">
        <f>D10*F10</f>
        <v>52000</v>
      </c>
      <c r="H10" s="162" t="s">
        <v>305</v>
      </c>
      <c r="J10" s="143" t="str">
        <f>TEXT(SUM(G10:G11),"#,#")&amp;" × "&amp;$K$40&amp;" = "&amp;TEXT(SUM(G10:G11)*$K$40,"#,#")</f>
        <v>64,500 × 1.265 = 81,593</v>
      </c>
    </row>
    <row r="11" spans="1:10" x14ac:dyDescent="0.2">
      <c r="B11" s="159" t="s">
        <v>297</v>
      </c>
      <c r="C11" s="160"/>
      <c r="D11" s="161">
        <v>1</v>
      </c>
      <c r="E11" s="160" t="s">
        <v>304</v>
      </c>
      <c r="F11" s="161">
        <v>12500</v>
      </c>
      <c r="G11" s="161">
        <f>D11*F11</f>
        <v>12500</v>
      </c>
      <c r="H11" s="162"/>
    </row>
    <row r="12" spans="1:10" x14ac:dyDescent="0.2">
      <c r="B12" s="159"/>
      <c r="C12" s="160"/>
      <c r="D12" s="161"/>
      <c r="E12" s="160"/>
      <c r="F12" s="161"/>
      <c r="G12" s="161"/>
      <c r="H12" s="162"/>
    </row>
    <row r="13" spans="1:10" x14ac:dyDescent="0.2">
      <c r="B13" s="159" t="s">
        <v>298</v>
      </c>
      <c r="C13" s="160" t="s">
        <v>303</v>
      </c>
      <c r="D13" s="161">
        <v>1</v>
      </c>
      <c r="E13" s="160" t="s">
        <v>304</v>
      </c>
      <c r="F13" s="161">
        <v>52000</v>
      </c>
      <c r="G13" s="161">
        <f t="shared" ref="G13:G17" si="0">D13*F13</f>
        <v>52000</v>
      </c>
      <c r="H13" s="162" t="s">
        <v>305</v>
      </c>
      <c r="J13" s="143" t="str">
        <f>TEXT(SUM(G13:G15),"#,#")&amp;" × "&amp;$K$40&amp;" = "&amp;TEXT(SUM(G13:G15)*$K$40,"#,#")</f>
        <v>81,833 × 1.265 = 103,519</v>
      </c>
    </row>
    <row r="14" spans="1:10" x14ac:dyDescent="0.2">
      <c r="B14" s="159" t="s">
        <v>299</v>
      </c>
      <c r="C14" s="160"/>
      <c r="D14" s="161">
        <v>1</v>
      </c>
      <c r="E14" s="160" t="s">
        <v>304</v>
      </c>
      <c r="F14" s="161">
        <v>17333</v>
      </c>
      <c r="G14" s="161">
        <f t="shared" si="0"/>
        <v>17333</v>
      </c>
      <c r="H14" s="162"/>
    </row>
    <row r="15" spans="1:10" x14ac:dyDescent="0.2">
      <c r="B15" s="159" t="s">
        <v>300</v>
      </c>
      <c r="C15" s="160"/>
      <c r="D15" s="161">
        <v>1</v>
      </c>
      <c r="E15" s="160" t="s">
        <v>304</v>
      </c>
      <c r="F15" s="161">
        <v>12500</v>
      </c>
      <c r="G15" s="161">
        <f t="shared" si="0"/>
        <v>12500</v>
      </c>
      <c r="H15" s="162"/>
    </row>
    <row r="16" spans="1:10" x14ac:dyDescent="0.2">
      <c r="B16" s="159" t="s">
        <v>295</v>
      </c>
      <c r="C16" s="160"/>
      <c r="D16" s="161"/>
      <c r="E16" s="160"/>
      <c r="F16" s="161"/>
      <c r="G16" s="161"/>
      <c r="H16" s="162"/>
    </row>
    <row r="17" spans="2:10" x14ac:dyDescent="0.2">
      <c r="B17" s="159" t="s">
        <v>307</v>
      </c>
      <c r="C17" s="160"/>
      <c r="D17" s="161">
        <v>1</v>
      </c>
      <c r="E17" s="160" t="s">
        <v>304</v>
      </c>
      <c r="F17" s="161">
        <v>50000</v>
      </c>
      <c r="G17" s="161">
        <f t="shared" si="0"/>
        <v>50000</v>
      </c>
      <c r="H17" s="162"/>
    </row>
    <row r="18" spans="2:10" x14ac:dyDescent="0.2">
      <c r="B18" s="172" t="s">
        <v>313</v>
      </c>
      <c r="C18" s="160"/>
      <c r="D18" s="161"/>
      <c r="E18" s="160"/>
      <c r="F18" s="161"/>
      <c r="G18" s="161"/>
      <c r="H18" s="162"/>
    </row>
    <row r="19" spans="2:10" x14ac:dyDescent="0.2">
      <c r="B19" s="172" t="s">
        <v>313</v>
      </c>
      <c r="C19" s="160"/>
      <c r="D19" s="161"/>
      <c r="E19" s="160"/>
      <c r="F19" s="161"/>
      <c r="G19" s="161"/>
      <c r="H19" s="162"/>
    </row>
    <row r="20" spans="2:10" x14ac:dyDescent="0.2">
      <c r="B20" s="172" t="s">
        <v>313</v>
      </c>
      <c r="C20" s="160"/>
      <c r="D20" s="161"/>
      <c r="E20" s="160"/>
      <c r="F20" s="161"/>
      <c r="G20" s="161"/>
      <c r="H20" s="162"/>
    </row>
    <row r="21" spans="2:10" x14ac:dyDescent="0.2">
      <c r="B21" s="159"/>
      <c r="C21" s="160"/>
      <c r="D21" s="161"/>
      <c r="E21" s="160"/>
      <c r="F21" s="161"/>
      <c r="G21" s="161"/>
      <c r="H21" s="162"/>
    </row>
    <row r="22" spans="2:10" x14ac:dyDescent="0.2">
      <c r="B22" s="159" t="s">
        <v>301</v>
      </c>
      <c r="C22" s="160"/>
      <c r="D22" s="161"/>
      <c r="E22" s="160"/>
      <c r="F22" s="161"/>
      <c r="G22" s="161"/>
      <c r="H22" s="162"/>
    </row>
    <row r="23" spans="2:10" x14ac:dyDescent="0.2">
      <c r="B23" s="159" t="s">
        <v>295</v>
      </c>
      <c r="C23" s="160"/>
      <c r="D23" s="161"/>
      <c r="E23" s="160"/>
      <c r="F23" s="161"/>
      <c r="G23" s="161"/>
      <c r="H23" s="162"/>
    </row>
    <row r="24" spans="2:10" x14ac:dyDescent="0.2">
      <c r="B24" s="159" t="s">
        <v>342</v>
      </c>
      <c r="C24" s="160" t="s">
        <v>345</v>
      </c>
      <c r="D24" s="167">
        <v>20.7</v>
      </c>
      <c r="E24" s="160" t="s">
        <v>12</v>
      </c>
      <c r="F24" s="161">
        <v>2550</v>
      </c>
      <c r="G24" s="161">
        <f t="shared" ref="G24:G26" si="1">D24*F24</f>
        <v>52785</v>
      </c>
      <c r="H24" s="162" t="s">
        <v>306</v>
      </c>
      <c r="J24" s="143" t="str">
        <f>TEXT(SUM(G24:G26),"#,#")&amp;" × "&amp;$K$40&amp;" = "&amp;TEXT(SUM(G24:G26)*$K$40,"#,#")</f>
        <v>108,675 × 1.265 = 137,474</v>
      </c>
    </row>
    <row r="25" spans="2:10" x14ac:dyDescent="0.2">
      <c r="B25" s="159" t="s">
        <v>343</v>
      </c>
      <c r="C25" s="160"/>
      <c r="D25" s="167">
        <v>20.7</v>
      </c>
      <c r="E25" s="160" t="s">
        <v>12</v>
      </c>
      <c r="F25" s="161">
        <v>300</v>
      </c>
      <c r="G25" s="161">
        <f t="shared" si="1"/>
        <v>6210</v>
      </c>
      <c r="H25" s="162"/>
    </row>
    <row r="26" spans="2:10" x14ac:dyDescent="0.2">
      <c r="B26" s="159" t="s">
        <v>344</v>
      </c>
      <c r="C26" s="160" t="s">
        <v>346</v>
      </c>
      <c r="D26" s="167">
        <v>20.7</v>
      </c>
      <c r="E26" s="160" t="s">
        <v>12</v>
      </c>
      <c r="F26" s="161">
        <v>2400</v>
      </c>
      <c r="G26" s="161">
        <f t="shared" si="1"/>
        <v>49680</v>
      </c>
      <c r="H26" s="162"/>
    </row>
    <row r="27" spans="2:10" x14ac:dyDescent="0.2">
      <c r="B27" s="172" t="s">
        <v>313</v>
      </c>
      <c r="C27" s="160"/>
      <c r="D27" s="161"/>
      <c r="E27" s="160"/>
      <c r="F27" s="161"/>
      <c r="G27" s="161"/>
      <c r="H27" s="162"/>
    </row>
    <row r="28" spans="2:10" x14ac:dyDescent="0.2">
      <c r="B28" s="172" t="s">
        <v>313</v>
      </c>
      <c r="C28" s="160"/>
      <c r="D28" s="161"/>
      <c r="E28" s="160"/>
      <c r="F28" s="161"/>
      <c r="G28" s="161"/>
      <c r="H28" s="162"/>
    </row>
    <row r="29" spans="2:10" x14ac:dyDescent="0.2">
      <c r="B29" s="172" t="s">
        <v>313</v>
      </c>
      <c r="C29" s="160"/>
      <c r="D29" s="161"/>
      <c r="E29" s="160"/>
      <c r="F29" s="161"/>
      <c r="G29" s="161"/>
      <c r="H29" s="162"/>
    </row>
    <row r="30" spans="2:10" x14ac:dyDescent="0.2">
      <c r="B30" s="159"/>
      <c r="C30" s="160"/>
      <c r="D30" s="161"/>
      <c r="E30" s="160"/>
      <c r="F30" s="161"/>
      <c r="G30" s="161"/>
      <c r="H30" s="162"/>
    </row>
    <row r="31" spans="2:10" x14ac:dyDescent="0.2">
      <c r="B31" s="159" t="s">
        <v>290</v>
      </c>
      <c r="C31" s="160"/>
      <c r="D31" s="161"/>
      <c r="E31" s="160"/>
      <c r="F31" s="161"/>
      <c r="G31" s="161">
        <v>5500000</v>
      </c>
      <c r="H31" s="162"/>
    </row>
    <row r="32" spans="2:10" x14ac:dyDescent="0.2">
      <c r="B32" s="159"/>
      <c r="C32" s="160"/>
      <c r="D32" s="161"/>
      <c r="E32" s="160"/>
      <c r="F32" s="161"/>
      <c r="G32" s="161"/>
      <c r="H32" s="162"/>
    </row>
    <row r="33" spans="2:11" x14ac:dyDescent="0.2">
      <c r="B33" s="159" t="s">
        <v>291</v>
      </c>
      <c r="C33" s="160"/>
      <c r="D33" s="161">
        <v>1</v>
      </c>
      <c r="E33" s="160" t="s">
        <v>108</v>
      </c>
      <c r="F33" s="161"/>
      <c r="G33" s="161">
        <v>825000</v>
      </c>
      <c r="H33" s="162"/>
    </row>
    <row r="34" spans="2:11" x14ac:dyDescent="0.2">
      <c r="B34" s="159"/>
      <c r="C34" s="160"/>
      <c r="D34" s="161"/>
      <c r="E34" s="160"/>
      <c r="F34" s="161"/>
      <c r="G34" s="161"/>
      <c r="H34" s="162"/>
    </row>
    <row r="35" spans="2:11" x14ac:dyDescent="0.2">
      <c r="B35" s="159" t="s">
        <v>292</v>
      </c>
      <c r="C35" s="160"/>
      <c r="D35" s="161"/>
      <c r="E35" s="160"/>
      <c r="F35" s="161"/>
      <c r="G35" s="161">
        <f>G31+G33</f>
        <v>6325000</v>
      </c>
      <c r="H35" s="162"/>
    </row>
    <row r="36" spans="2:11" x14ac:dyDescent="0.2">
      <c r="B36" s="159"/>
      <c r="C36" s="160"/>
      <c r="D36" s="161"/>
      <c r="E36" s="160"/>
      <c r="F36" s="161"/>
      <c r="G36" s="161"/>
      <c r="H36" s="162"/>
    </row>
    <row r="37" spans="2:11" x14ac:dyDescent="0.2">
      <c r="B37" s="159"/>
      <c r="C37" s="160"/>
      <c r="D37" s="161"/>
      <c r="E37" s="160"/>
      <c r="F37" s="161"/>
      <c r="G37" s="161"/>
      <c r="H37" s="162"/>
    </row>
    <row r="38" spans="2:11" x14ac:dyDescent="0.2">
      <c r="B38" s="159" t="s">
        <v>293</v>
      </c>
      <c r="C38" s="160"/>
      <c r="D38" s="161">
        <v>10</v>
      </c>
      <c r="E38" s="160" t="s">
        <v>309</v>
      </c>
      <c r="F38" s="161">
        <f>G35</f>
        <v>6325000</v>
      </c>
      <c r="G38" s="161">
        <f>F38*D38/100</f>
        <v>632500</v>
      </c>
      <c r="H38" s="162"/>
      <c r="J38" s="143" t="s">
        <v>311</v>
      </c>
    </row>
    <row r="39" spans="2:11" x14ac:dyDescent="0.2">
      <c r="B39" s="159"/>
      <c r="C39" s="160"/>
      <c r="D39" s="161"/>
      <c r="E39" s="160"/>
      <c r="F39" s="161"/>
      <c r="G39" s="161"/>
      <c r="H39" s="162"/>
    </row>
    <row r="40" spans="2:11" x14ac:dyDescent="0.2">
      <c r="B40" s="159"/>
      <c r="C40" s="160"/>
      <c r="D40" s="161"/>
      <c r="E40" s="160"/>
      <c r="F40" s="161"/>
      <c r="G40" s="161"/>
      <c r="H40" s="162"/>
      <c r="J40" s="168">
        <f>G41</f>
        <v>6957500</v>
      </c>
      <c r="K40" s="603">
        <f>J40/J41</f>
        <v>1.2649999999999999</v>
      </c>
    </row>
    <row r="41" spans="2:11" x14ac:dyDescent="0.2">
      <c r="B41" s="159" t="s">
        <v>251</v>
      </c>
      <c r="C41" s="160"/>
      <c r="D41" s="161"/>
      <c r="E41" s="160"/>
      <c r="F41" s="161"/>
      <c r="G41" s="161">
        <f>G35+G38</f>
        <v>6957500</v>
      </c>
      <c r="H41" s="162"/>
      <c r="J41" s="169">
        <f>G31</f>
        <v>5500000</v>
      </c>
      <c r="K41" s="603"/>
    </row>
    <row r="42" spans="2:11" x14ac:dyDescent="0.2">
      <c r="B42" s="159"/>
      <c r="C42" s="160"/>
      <c r="D42" s="161"/>
      <c r="E42" s="160"/>
      <c r="F42" s="161"/>
      <c r="G42" s="161"/>
      <c r="H42" s="162"/>
    </row>
    <row r="43" spans="2:11" x14ac:dyDescent="0.2">
      <c r="B43" s="159"/>
      <c r="C43" s="160"/>
      <c r="D43" s="161"/>
      <c r="E43" s="160"/>
      <c r="F43" s="161"/>
      <c r="G43" s="161"/>
      <c r="H43" s="162"/>
    </row>
    <row r="44" spans="2:11" ht="13.5" thickBot="1" x14ac:dyDescent="0.25">
      <c r="B44" s="163"/>
      <c r="C44" s="164"/>
      <c r="D44" s="165"/>
      <c r="E44" s="164"/>
      <c r="F44" s="165"/>
      <c r="G44" s="165"/>
      <c r="H44" s="166"/>
    </row>
  </sheetData>
  <sheetProtection sheet="1" objects="1" scenarios="1" selectLockedCells="1" selectUnlockedCells="1"/>
  <mergeCells count="1">
    <mergeCell ref="K40:K41"/>
  </mergeCells>
  <phoneticPr fontId="3"/>
  <pageMargins left="0.70866141732283472" right="0.70866141732283472" top="0.74803149606299213" bottom="0.74803149606299213" header="0.31496062992125984" footer="0.31496062992125984"/>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10"/>
  <sheetViews>
    <sheetView view="pageBreakPreview" zoomScale="145" zoomScaleNormal="130" zoomScaleSheetLayoutView="145" workbookViewId="0">
      <selection activeCell="I10" sqref="I10"/>
    </sheetView>
  </sheetViews>
  <sheetFormatPr defaultRowHeight="13" x14ac:dyDescent="0.2"/>
  <cols>
    <col min="1" max="1" width="8.7265625" style="143"/>
    <col min="2" max="2" width="19.36328125" style="143" customWidth="1"/>
    <col min="3" max="11" width="11.81640625" style="143" customWidth="1"/>
    <col min="12" max="16384" width="8.7265625" style="143"/>
  </cols>
  <sheetData>
    <row r="3" spans="2:11" ht="13.5" thickBot="1" x14ac:dyDescent="0.25">
      <c r="B3" s="143" t="s">
        <v>339</v>
      </c>
    </row>
    <row r="4" spans="2:11" ht="30" customHeight="1" x14ac:dyDescent="0.2">
      <c r="B4" s="174" t="s">
        <v>328</v>
      </c>
      <c r="C4" s="175" t="s">
        <v>318</v>
      </c>
      <c r="D4" s="176" t="s">
        <v>319</v>
      </c>
      <c r="E4" s="176" t="s">
        <v>320</v>
      </c>
      <c r="F4" s="176" t="s">
        <v>321</v>
      </c>
      <c r="G4" s="176" t="s">
        <v>322</v>
      </c>
      <c r="H4" s="176" t="s">
        <v>323</v>
      </c>
      <c r="I4" s="176" t="s">
        <v>324</v>
      </c>
      <c r="J4" s="175" t="s">
        <v>109</v>
      </c>
      <c r="K4" s="177" t="s">
        <v>109</v>
      </c>
    </row>
    <row r="5" spans="2:11" ht="30" customHeight="1" x14ac:dyDescent="0.2">
      <c r="B5" s="178" t="s">
        <v>329</v>
      </c>
      <c r="C5" s="173" t="s">
        <v>109</v>
      </c>
      <c r="D5" s="173" t="s">
        <v>109</v>
      </c>
      <c r="E5" s="173" t="s">
        <v>109</v>
      </c>
      <c r="F5" s="173" t="s">
        <v>109</v>
      </c>
      <c r="G5" s="173" t="s">
        <v>109</v>
      </c>
      <c r="H5" s="173" t="s">
        <v>109</v>
      </c>
      <c r="I5" s="173" t="s">
        <v>109</v>
      </c>
      <c r="J5" s="173" t="s">
        <v>325</v>
      </c>
      <c r="K5" s="179" t="s">
        <v>326</v>
      </c>
    </row>
    <row r="6" spans="2:11" ht="30" customHeight="1" thickBot="1" x14ac:dyDescent="0.25">
      <c r="B6" s="180" t="s">
        <v>317</v>
      </c>
      <c r="C6" s="181" t="s">
        <v>168</v>
      </c>
      <c r="D6" s="181" t="s">
        <v>170</v>
      </c>
      <c r="E6" s="181" t="s">
        <v>172</v>
      </c>
      <c r="F6" s="181" t="s">
        <v>178</v>
      </c>
      <c r="G6" s="181" t="s">
        <v>180</v>
      </c>
      <c r="H6" s="181" t="s">
        <v>181</v>
      </c>
      <c r="I6" s="181" t="s">
        <v>182</v>
      </c>
      <c r="J6" s="181" t="s">
        <v>186</v>
      </c>
      <c r="K6" s="182" t="s">
        <v>188</v>
      </c>
    </row>
    <row r="8" spans="2:11" ht="13.5" thickBot="1" x14ac:dyDescent="0.25">
      <c r="B8" s="143" t="s">
        <v>338</v>
      </c>
    </row>
    <row r="9" spans="2:11" ht="45" customHeight="1" x14ac:dyDescent="0.2">
      <c r="B9" s="174" t="s">
        <v>330</v>
      </c>
      <c r="C9" s="176" t="s">
        <v>331</v>
      </c>
      <c r="D9" s="176" t="s">
        <v>332</v>
      </c>
      <c r="E9" s="176" t="s">
        <v>333</v>
      </c>
      <c r="F9" s="176" t="s">
        <v>334</v>
      </c>
      <c r="G9" s="176" t="s">
        <v>335</v>
      </c>
      <c r="H9" s="176" t="s">
        <v>336</v>
      </c>
      <c r="I9" s="183" t="s">
        <v>337</v>
      </c>
    </row>
    <row r="10" spans="2:11" ht="45" customHeight="1" thickBot="1" x14ac:dyDescent="0.25">
      <c r="B10" s="180" t="s">
        <v>327</v>
      </c>
      <c r="C10" s="181" t="s">
        <v>173</v>
      </c>
      <c r="D10" s="181" t="s">
        <v>176</v>
      </c>
      <c r="E10" s="181" t="s">
        <v>178</v>
      </c>
      <c r="F10" s="181" t="s">
        <v>180</v>
      </c>
      <c r="G10" s="181" t="s">
        <v>181</v>
      </c>
      <c r="H10" s="181" t="s">
        <v>182</v>
      </c>
      <c r="I10" s="182" t="s">
        <v>184</v>
      </c>
    </row>
  </sheetData>
  <sheetProtection sheet="1" objects="1" scenarios="1" selectLockedCells="1"/>
  <phoneticPr fontId="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判定</vt:lpstr>
      <vt:lpstr>計算</vt:lpstr>
      <vt:lpstr>様式１</vt:lpstr>
      <vt:lpstr>様式１－１（補助金額確認）</vt:lpstr>
      <vt:lpstr>様式１ー２　費用等明細</vt:lpstr>
      <vt:lpstr>写真台帳（参考様式）</vt:lpstr>
      <vt:lpstr>【参考】実際の工事費算定例</vt:lpstr>
      <vt:lpstr>【参考】性能区分について</vt:lpstr>
      <vt:lpstr>【参考】実際の工事費算定例!Print_Area</vt:lpstr>
      <vt:lpstr>【参考】性能区分について!Print_Area</vt:lpstr>
      <vt:lpstr>計算!Print_Area</vt:lpstr>
      <vt:lpstr>'写真台帳（参考様式）'!Print_Area</vt:lpstr>
      <vt:lpstr>様式１!Print_Area</vt:lpstr>
      <vt:lpstr>'様式１－１（補助金額確認）'!Print_Area</vt:lpstr>
      <vt:lpstr>'様式１ー２　費用等明細'!Print_Area</vt:lpstr>
      <vt:lpstr>'様式１ー２　費用等明細'!Print_Titles</vt:lpstr>
      <vt:lpstr>ガラス交換</vt:lpstr>
      <vt:lpstr>ドア交換【引戸】</vt:lpstr>
      <vt:lpstr>ドア交換【開戸】</vt:lpstr>
      <vt:lpstr>屋根・天井断熱</vt:lpstr>
      <vt:lpstr>外窓交換</vt:lpstr>
      <vt:lpstr>外壁断熱</vt:lpstr>
      <vt:lpstr>床断熱</vt:lpstr>
      <vt:lpstr>内窓設置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2024-07-22T04:34:30Z</dcterms:modified>
</cp:coreProperties>
</file>